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codeName="ThisWorkbook" defaultThemeVersion="124226"/>
  <mc:AlternateContent xmlns:mc="http://schemas.openxmlformats.org/markup-compatibility/2006">
    <mc:Choice Requires="x15">
      <x15ac:absPath xmlns:x15ac="http://schemas.microsoft.com/office/spreadsheetml/2010/11/ac" url="H:\KMU\KNOWLEDGE SYSTEMS\SUSFARMS\2025\SUSFARMS WEB MAC 2024-25\"/>
    </mc:Choice>
  </mc:AlternateContent>
  <xr:revisionPtr revIDLastSave="0" documentId="13_ncr:1_{37430348-9818-4A88-8635-FD24790D62D0}" xr6:coauthVersionLast="47" xr6:coauthVersionMax="47" xr10:uidLastSave="{00000000-0000-0000-0000-000000000000}"/>
  <workbookProtection workbookAlgorithmName="SHA-512" workbookHashValue="jr+q3j4DQPrPWu0KuSVtvNvcUrosbPQxlgTzUmNF/iExBKRcaWdS/pDVcGne9E0yYN1/023e/c3ocRbaXt+CEA==" workbookSaltValue="i+xsfUkLwRJmyaiNRFn2/g==" workbookSpinCount="100000" lockStructure="1"/>
  <bookViews>
    <workbookView xWindow="-108" yWindow="-108" windowWidth="23256" windowHeight="12576" tabRatio="858" xr2:uid="{00000000-000D-0000-FFFF-FFFF00000000}"/>
  </bookViews>
  <sheets>
    <sheet name="INTRO" sheetId="12" r:id="rId1"/>
    <sheet name="PROFILE" sheetId="10" r:id="rId2"/>
    <sheet name="PROSPERITY" sheetId="1" r:id="rId3"/>
    <sheet name="PEOPLE" sheetId="5" r:id="rId4"/>
    <sheet name="PLANET" sheetId="6" r:id="rId5"/>
    <sheet name="SAI QUESTIONS" sheetId="13" r:id="rId6"/>
    <sheet name="REPORT" sheetId="7" r:id="rId7"/>
    <sheet name="CALCULATORS" sheetId="11" state="veryHidden" r:id="rId8"/>
  </sheets>
  <definedNames>
    <definedName name="_Toc142473747" localSheetId="3">PEOPLE!$B$10</definedName>
    <definedName name="_Toc142473747" localSheetId="4">PLANET!#REF!</definedName>
    <definedName name="_Toc142473747" localSheetId="6">REPORT!#REF!</definedName>
    <definedName name="AGROCHEM">CALCULATORS!$A$82:$A$442</definedName>
    <definedName name="AGROCHEMTAB">CALCULATORS!$A$82:$B$442</definedName>
    <definedName name="EXTENSION">CALCULATORS!$A$446:$A$456</definedName>
    <definedName name="EXTENSIONTAB">CALCULATORS!$A$446:$A$549</definedName>
    <definedName name="Komati">CALCULATORS!$A$459:$A$463</definedName>
    <definedName name="Lower_South_Coast">CALCULATORS!$A$465:$A$472</definedName>
    <definedName name="Malelane">CALCULATORS!$A$474:$A$481</definedName>
    <definedName name="Manual">CALCULATORS!$A$569</definedName>
    <definedName name="Midlands_North">CALCULATORS!$A$483:$A$493</definedName>
    <definedName name="Midlands_South">CALCULATORS!$A$495:$A$505</definedName>
    <definedName name="North_Coast">CALCULATORS!$A$507:$A$510</definedName>
    <definedName name="OPT_1">CALCULATORS!$F$2:$F$7</definedName>
    <definedName name="OPT_2">CALCULATORS!$F$9:$F$13</definedName>
    <definedName name="OPT_3">CALCULATORS!$F$16:$F$20</definedName>
    <definedName name="OPT_4">CALCULATORS!$F$15:$F$20</definedName>
    <definedName name="OPTSCORE1">CALCULATORS!$F$2:$G$7</definedName>
    <definedName name="OPTSCORE2">CALCULATORS!$F$9:$G$13</definedName>
    <definedName name="OPTSCORE3">CALCULATORS!$F$16:$G$20</definedName>
    <definedName name="OPTSCORE4">CALCULATORS!$F$15:$G$20</definedName>
    <definedName name="Pongola">CALCULATORS!$A$512:$A$514</definedName>
    <definedName name="_xlnm.Print_Area" localSheetId="3">PEOPLE!$A$1:$I$150</definedName>
    <definedName name="_xlnm.Print_Area" localSheetId="4">PLANET!$A$1:$F$421</definedName>
    <definedName name="_xlnm.Print_Area" localSheetId="1">PROFILE!$B$1:$F$84</definedName>
    <definedName name="_xlnm.Print_Area" localSheetId="2">PROSPERITY!$A$1:$G$102</definedName>
    <definedName name="South_Coast">CALCULATORS!$A$516:$A$523</definedName>
    <definedName name="Umfolozi">CALCULATORS!$A$525:$A$532</definedName>
    <definedName name="Zululand_North">CALCULATORS!$A$534:$A$543</definedName>
    <definedName name="Zululand_South">CALCULATORS!$A$545:$A$549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99" i="5"/>
  <c r="E76" i="6" l="1"/>
  <c r="E209" i="6" l="1"/>
  <c r="E57" i="6"/>
  <c r="E56" i="6"/>
  <c r="E58" i="5"/>
  <c r="E57" i="5"/>
  <c r="E56" i="5"/>
  <c r="E55" i="5"/>
  <c r="C371" i="6" l="1"/>
  <c r="E371" i="6" s="1"/>
  <c r="D56" i="10" l="1"/>
  <c r="E75" i="6" l="1"/>
  <c r="E74" i="6"/>
  <c r="E73" i="6"/>
  <c r="E72" i="6"/>
  <c r="G2" i="1" l="1"/>
  <c r="B38" i="10" l="1"/>
  <c r="D35" i="10"/>
  <c r="D36" i="10"/>
  <c r="D34" i="10"/>
  <c r="C35" i="10"/>
  <c r="C36" i="10"/>
  <c r="C34" i="10"/>
  <c r="D37" i="10" l="1"/>
  <c r="C37" i="10"/>
  <c r="E77" i="10"/>
  <c r="E78" i="10"/>
  <c r="E79" i="10"/>
  <c r="E80" i="10"/>
  <c r="E81" i="10"/>
  <c r="E82" i="10"/>
  <c r="E83" i="10"/>
  <c r="C101" i="6" l="1"/>
  <c r="E13" i="5"/>
  <c r="E298" i="6" l="1"/>
  <c r="E103" i="6"/>
  <c r="E102" i="6"/>
  <c r="E100" i="6"/>
  <c r="E101" i="6"/>
  <c r="E35" i="5"/>
  <c r="E36" i="5"/>
  <c r="E37" i="5"/>
  <c r="E38" i="5"/>
  <c r="E39" i="5"/>
  <c r="E40" i="5"/>
  <c r="E41" i="5"/>
  <c r="E42" i="5"/>
  <c r="E43" i="5"/>
  <c r="E34" i="5"/>
  <c r="E407" i="6"/>
  <c r="C105" i="6" l="1"/>
  <c r="E207" i="6"/>
  <c r="E340" i="6" l="1"/>
  <c r="E354" i="6"/>
  <c r="E353" i="6"/>
  <c r="E352" i="6"/>
  <c r="E351" i="6"/>
  <c r="E350" i="6"/>
  <c r="E349" i="6"/>
  <c r="E348" i="6"/>
  <c r="E345" i="6"/>
  <c r="E344" i="6"/>
  <c r="E343" i="6"/>
  <c r="E341" i="6"/>
  <c r="E339" i="6"/>
  <c r="E338" i="6"/>
  <c r="E336" i="6"/>
  <c r="E335" i="6"/>
  <c r="E334" i="6"/>
  <c r="E333" i="6"/>
  <c r="E332" i="6"/>
  <c r="E331" i="6"/>
  <c r="E330" i="6"/>
  <c r="E329" i="6"/>
  <c r="E328" i="6"/>
  <c r="E326" i="6" l="1"/>
  <c r="E325" i="6"/>
  <c r="E323" i="6"/>
  <c r="E308" i="6"/>
  <c r="C355" i="6" l="1"/>
  <c r="E106" i="5" l="1"/>
  <c r="E15" i="1"/>
  <c r="E16" i="1"/>
  <c r="E17" i="1"/>
  <c r="E18" i="1"/>
  <c r="E19" i="1"/>
  <c r="E20" i="1"/>
  <c r="E21" i="1"/>
  <c r="E22" i="1"/>
  <c r="E23" i="1"/>
  <c r="E24" i="1"/>
  <c r="E25" i="1"/>
  <c r="E26" i="1"/>
  <c r="E27" i="1"/>
  <c r="E28" i="1"/>
  <c r="E29" i="1"/>
  <c r="E14" i="1"/>
  <c r="E13" i="1"/>
  <c r="E7" i="1"/>
  <c r="E8" i="1"/>
  <c r="E9" i="1"/>
  <c r="E10" i="1"/>
  <c r="E11" i="1"/>
  <c r="E12" i="1"/>
  <c r="E6" i="1"/>
  <c r="C30" i="1" l="1"/>
  <c r="D30" i="1"/>
  <c r="E35" i="6" l="1"/>
  <c r="E70" i="6"/>
  <c r="E69" i="6"/>
  <c r="E68" i="6"/>
  <c r="E388" i="6" l="1"/>
  <c r="E385" i="6"/>
  <c r="E383" i="6"/>
  <c r="E376" i="6"/>
  <c r="E375" i="6"/>
  <c r="C373" i="6"/>
  <c r="E60" i="5" l="1"/>
  <c r="E199" i="6" l="1"/>
  <c r="E389" i="6"/>
  <c r="E278" i="6"/>
  <c r="E277" i="6"/>
  <c r="E276" i="6"/>
  <c r="E275" i="6"/>
  <c r="E270" i="6"/>
  <c r="E133" i="6"/>
  <c r="E124" i="6"/>
  <c r="E104" i="6"/>
  <c r="D105" i="6" s="1"/>
  <c r="C81" i="6"/>
  <c r="E81" i="6" s="1"/>
  <c r="E45" i="6"/>
  <c r="E18" i="6"/>
  <c r="E109" i="5"/>
  <c r="E108" i="5"/>
  <c r="E107" i="5"/>
  <c r="D147" i="5"/>
  <c r="C110" i="5" l="1"/>
  <c r="E222" i="6"/>
  <c r="E27" i="5"/>
  <c r="E23" i="5"/>
  <c r="E9" i="5" l="1"/>
  <c r="D56" i="1" l="1"/>
  <c r="C116" i="6" l="1"/>
  <c r="E58" i="1" l="1"/>
  <c r="E66" i="5"/>
  <c r="E320" i="6" l="1"/>
  <c r="E319" i="6"/>
  <c r="E318" i="6"/>
  <c r="E317" i="6"/>
  <c r="E316" i="6"/>
  <c r="E315" i="6"/>
  <c r="E314" i="6"/>
  <c r="E313" i="6"/>
  <c r="E312" i="6"/>
  <c r="E311" i="6"/>
  <c r="E310" i="6"/>
  <c r="D355" i="6" l="1"/>
  <c r="E404" i="6"/>
  <c r="E186" i="6"/>
  <c r="E185" i="6"/>
  <c r="E184" i="6"/>
  <c r="E183" i="6"/>
  <c r="E179" i="6"/>
  <c r="E181" i="6"/>
  <c r="E177" i="6"/>
  <c r="E159" i="6"/>
  <c r="E139" i="6"/>
  <c r="E137" i="6"/>
  <c r="E136" i="6"/>
  <c r="E20" i="5"/>
  <c r="E19" i="5"/>
  <c r="E18" i="5"/>
  <c r="E22" i="5"/>
  <c r="E21" i="5"/>
  <c r="E17" i="5"/>
  <c r="E16" i="5"/>
  <c r="E15" i="5"/>
  <c r="E14" i="5"/>
  <c r="C18" i="7"/>
  <c r="D38" i="7" l="1"/>
  <c r="D34" i="7"/>
  <c r="D54" i="10" l="1"/>
  <c r="D55" i="10"/>
  <c r="D57" i="10"/>
  <c r="D58" i="10"/>
  <c r="D59" i="10"/>
  <c r="D60" i="10"/>
  <c r="D61" i="10"/>
  <c r="D62" i="10"/>
  <c r="D63" i="10"/>
  <c r="D64" i="10"/>
  <c r="D65" i="10"/>
  <c r="D66" i="10"/>
  <c r="D67" i="10"/>
  <c r="D53" i="10"/>
  <c r="E37" i="1" l="1"/>
  <c r="E56" i="1"/>
  <c r="D60" i="11"/>
  <c r="E44" i="1"/>
  <c r="E180" i="6" l="1"/>
  <c r="E61" i="6"/>
  <c r="E60" i="6"/>
  <c r="E55" i="6"/>
  <c r="E11" i="6"/>
  <c r="E411" i="6" l="1"/>
  <c r="E410" i="6"/>
  <c r="E409" i="6"/>
  <c r="E408" i="6"/>
  <c r="E406" i="6"/>
  <c r="E402" i="6"/>
  <c r="E401" i="6"/>
  <c r="D380" i="6"/>
  <c r="E379" i="6"/>
  <c r="E378" i="6"/>
  <c r="E377" i="6"/>
  <c r="E372" i="6"/>
  <c r="E369" i="6"/>
  <c r="E368" i="6"/>
  <c r="E366" i="6"/>
  <c r="E360" i="6"/>
  <c r="E297" i="6"/>
  <c r="C299" i="6" s="1"/>
  <c r="E295" i="6"/>
  <c r="E294" i="6"/>
  <c r="E293" i="6"/>
  <c r="E290" i="6"/>
  <c r="E289" i="6"/>
  <c r="E288" i="6"/>
  <c r="E287" i="6"/>
  <c r="E286" i="6"/>
  <c r="E285" i="6"/>
  <c r="E283" i="6"/>
  <c r="E282" i="6"/>
  <c r="E281" i="6"/>
  <c r="E280" i="6"/>
  <c r="E271" i="6"/>
  <c r="E272" i="6"/>
  <c r="E264" i="6"/>
  <c r="E263" i="6"/>
  <c r="E261" i="6"/>
  <c r="E260" i="6"/>
  <c r="E259" i="6"/>
  <c r="E257" i="6"/>
  <c r="E256" i="6"/>
  <c r="E255" i="6"/>
  <c r="E254" i="6"/>
  <c r="E253" i="6"/>
  <c r="E252" i="6"/>
  <c r="E251" i="6"/>
  <c r="E249" i="6"/>
  <c r="E248" i="6"/>
  <c r="D299" i="6" l="1"/>
  <c r="E235" i="6"/>
  <c r="E236" i="6"/>
  <c r="E237" i="6"/>
  <c r="E238" i="6"/>
  <c r="E239" i="6"/>
  <c r="E240" i="6"/>
  <c r="E241" i="6"/>
  <c r="E242" i="6"/>
  <c r="E243" i="6"/>
  <c r="E244" i="6"/>
  <c r="E245" i="6"/>
  <c r="E234" i="6" l="1"/>
  <c r="E200" i="6" l="1"/>
  <c r="E225" i="6"/>
  <c r="E224" i="6"/>
  <c r="E226" i="6"/>
  <c r="E223" i="6"/>
  <c r="E218" i="6"/>
  <c r="E219" i="6"/>
  <c r="E220" i="6"/>
  <c r="E221" i="6"/>
  <c r="E217" i="6"/>
  <c r="E206" i="6"/>
  <c r="E208" i="6"/>
  <c r="E210" i="6"/>
  <c r="E211" i="6"/>
  <c r="E212" i="6"/>
  <c r="E213" i="6"/>
  <c r="E214" i="6"/>
  <c r="E205" i="6"/>
  <c r="E178" i="6"/>
  <c r="E187" i="6"/>
  <c r="E175" i="6"/>
  <c r="E174" i="6"/>
  <c r="E173" i="6"/>
  <c r="E170" i="6"/>
  <c r="E168" i="6"/>
  <c r="E166" i="6"/>
  <c r="E165" i="6"/>
  <c r="E163" i="6"/>
  <c r="E161" i="6"/>
  <c r="E160" i="6"/>
  <c r="E157" i="6"/>
  <c r="E155" i="6"/>
  <c r="E153" i="6"/>
  <c r="E151" i="6"/>
  <c r="E150" i="6"/>
  <c r="C188" i="6" l="1"/>
  <c r="E132" i="6"/>
  <c r="E131" i="6"/>
  <c r="C126" i="6"/>
  <c r="E126" i="6" s="1"/>
  <c r="E128" i="6"/>
  <c r="E122" i="6"/>
  <c r="E121" i="6"/>
  <c r="E92" i="6"/>
  <c r="E93" i="6"/>
  <c r="E94" i="6"/>
  <c r="E90" i="6"/>
  <c r="E79" i="6"/>
  <c r="E67" i="6"/>
  <c r="E59" i="6"/>
  <c r="E58" i="6"/>
  <c r="E48" i="6"/>
  <c r="E46" i="6"/>
  <c r="E44" i="6"/>
  <c r="E43" i="6"/>
  <c r="E19" i="6"/>
  <c r="E17" i="6"/>
  <c r="E16" i="6"/>
  <c r="E15" i="6"/>
  <c r="E14" i="6"/>
  <c r="E12" i="6"/>
  <c r="E10" i="6"/>
  <c r="E8" i="6"/>
  <c r="E7" i="6"/>
  <c r="C18" i="10" l="1"/>
  <c r="C126" i="5" l="1"/>
  <c r="C125" i="5"/>
  <c r="C87" i="5"/>
  <c r="C86" i="5"/>
  <c r="E26" i="5"/>
  <c r="E25" i="5"/>
  <c r="E12" i="5"/>
  <c r="E11" i="5"/>
  <c r="E99" i="1"/>
  <c r="E98" i="1"/>
  <c r="E97" i="1"/>
  <c r="E90" i="1"/>
  <c r="E86" i="5" s="1"/>
  <c r="E95" i="1"/>
  <c r="E93" i="1"/>
  <c r="E126" i="5" s="1"/>
  <c r="C129" i="5" s="1"/>
  <c r="E91" i="1"/>
  <c r="E87" i="5" s="1"/>
  <c r="E89" i="1"/>
  <c r="E88" i="1"/>
  <c r="E87" i="1"/>
  <c r="E86" i="1"/>
  <c r="E85" i="1"/>
  <c r="E84" i="1"/>
  <c r="E70" i="1"/>
  <c r="E68" i="1"/>
  <c r="E45" i="1"/>
  <c r="E43" i="1"/>
  <c r="D79" i="1" l="1"/>
  <c r="C100" i="1"/>
  <c r="J43" i="10" l="1"/>
  <c r="I43" i="10"/>
  <c r="H43" i="10"/>
  <c r="C38" i="7" l="1"/>
  <c r="E140" i="6" l="1"/>
  <c r="E138" i="6"/>
  <c r="C141" i="6" s="1"/>
  <c r="C39" i="7" l="1"/>
  <c r="E100" i="5" l="1"/>
  <c r="E98" i="5"/>
  <c r="E95" i="5"/>
  <c r="B7" i="11" l="1"/>
  <c r="E70" i="10" l="1"/>
  <c r="E71" i="10"/>
  <c r="E72" i="10"/>
  <c r="E73" i="10"/>
  <c r="E74" i="10"/>
  <c r="E75" i="10"/>
  <c r="E76" i="10"/>
  <c r="E59" i="10"/>
  <c r="E60" i="10"/>
  <c r="E61" i="10"/>
  <c r="E62" i="10"/>
  <c r="E63" i="10"/>
  <c r="E64" i="10"/>
  <c r="E65" i="10"/>
  <c r="E147" i="5" l="1"/>
  <c r="B3" i="11"/>
  <c r="C367" i="6" l="1"/>
  <c r="E367" i="6" s="1"/>
  <c r="C44" i="7" l="1"/>
  <c r="D44" i="7"/>
  <c r="E30" i="6"/>
  <c r="E29" i="6"/>
  <c r="C84" i="10" l="1"/>
  <c r="D130" i="6" l="1"/>
  <c r="E130" i="6" s="1"/>
  <c r="D127" i="6"/>
  <c r="E127" i="6" s="1"/>
  <c r="D233" i="6"/>
  <c r="E233" i="6" s="1"/>
  <c r="D232" i="6"/>
  <c r="E232" i="6" s="1"/>
  <c r="D202" i="6"/>
  <c r="E202" i="6" s="1"/>
  <c r="D265" i="6" l="1"/>
  <c r="D37" i="7"/>
  <c r="D141" i="6"/>
  <c r="D39" i="7" s="1"/>
  <c r="E67" i="5"/>
  <c r="D18" i="10" l="1"/>
  <c r="B77" i="11"/>
  <c r="B5" i="7" l="1"/>
  <c r="B4" i="7"/>
  <c r="C3" i="7"/>
  <c r="B3" i="7"/>
  <c r="B20" i="11" l="1"/>
  <c r="B19" i="11"/>
  <c r="E116" i="5"/>
  <c r="E28" i="5"/>
  <c r="E140" i="5"/>
  <c r="E137" i="5"/>
  <c r="E136" i="5"/>
  <c r="E128" i="5"/>
  <c r="E127" i="5"/>
  <c r="D129" i="5" l="1"/>
  <c r="B21" i="11"/>
  <c r="E46" i="1"/>
  <c r="B50" i="11" l="1"/>
  <c r="B49" i="11"/>
  <c r="B48" i="11"/>
  <c r="B47" i="11"/>
  <c r="B69" i="11" l="1"/>
  <c r="B51" i="11" l="1"/>
  <c r="B53" i="11" l="1"/>
  <c r="B37" i="11"/>
  <c r="B34" i="11"/>
  <c r="B4" i="11"/>
  <c r="E69" i="10"/>
  <c r="E67" i="10"/>
  <c r="E66" i="10"/>
  <c r="E58" i="10"/>
  <c r="E57" i="10"/>
  <c r="E56" i="10"/>
  <c r="E55" i="10"/>
  <c r="E54" i="10"/>
  <c r="B22" i="11" l="1"/>
  <c r="B23" i="11" s="1"/>
  <c r="D84" i="10"/>
  <c r="E53" i="10"/>
  <c r="E84" i="10" s="1"/>
  <c r="E373" i="6"/>
  <c r="C370" i="6"/>
  <c r="E370" i="6" s="1"/>
  <c r="B76" i="11" l="1"/>
  <c r="B78" i="11" s="1"/>
  <c r="D78" i="11" s="1"/>
  <c r="D381" i="6" l="1"/>
  <c r="B79" i="11"/>
  <c r="E380" i="6"/>
  <c r="D148" i="5"/>
  <c r="D57" i="1" l="1"/>
  <c r="E57" i="1" s="1"/>
  <c r="E381" i="6"/>
  <c r="D390" i="6" s="1"/>
  <c r="D45" i="7" s="1"/>
  <c r="E51" i="1" l="1"/>
  <c r="E50" i="1"/>
  <c r="E52" i="1"/>
  <c r="E48" i="1"/>
  <c r="E47" i="1"/>
  <c r="E42" i="1"/>
  <c r="E41" i="1"/>
  <c r="E40" i="1"/>
  <c r="E39" i="1"/>
  <c r="E38" i="1"/>
  <c r="E36" i="1" l="1"/>
  <c r="E147" i="6"/>
  <c r="E146" i="6"/>
  <c r="E405" i="6" l="1"/>
  <c r="E403" i="6"/>
  <c r="E138" i="5" l="1"/>
  <c r="E139" i="5"/>
  <c r="E135" i="5"/>
  <c r="C141" i="5" l="1"/>
  <c r="C384" i="6" l="1"/>
  <c r="E384" i="6" s="1"/>
  <c r="E149" i="6" l="1"/>
  <c r="C40" i="7" l="1"/>
  <c r="C43" i="7"/>
  <c r="E247" i="6"/>
  <c r="E197" i="6"/>
  <c r="E65" i="6"/>
  <c r="E64" i="6" l="1"/>
  <c r="E54" i="6"/>
  <c r="E146" i="5" l="1"/>
  <c r="C148" i="5" s="1"/>
  <c r="E134" i="5"/>
  <c r="E83" i="5"/>
  <c r="B39" i="11" l="1"/>
  <c r="B36" i="11" l="1"/>
  <c r="B59" i="11"/>
  <c r="B8" i="11"/>
  <c r="B12" i="10"/>
  <c r="B9" i="11" l="1"/>
  <c r="B10" i="11" s="1"/>
  <c r="B5" i="11"/>
  <c r="B12" i="11" l="1"/>
  <c r="B24" i="11"/>
  <c r="B26" i="11" s="1"/>
  <c r="B54" i="11" l="1"/>
  <c r="B61" i="11" s="1"/>
  <c r="B62" i="11" s="1"/>
  <c r="B41" i="11"/>
  <c r="D54" i="11"/>
  <c r="B13" i="11"/>
  <c r="B71" i="11"/>
  <c r="B15" i="11" l="1"/>
  <c r="B72" i="11"/>
  <c r="D36" i="7"/>
  <c r="D29" i="7"/>
  <c r="C26" i="7"/>
  <c r="D25" i="7"/>
  <c r="D24" i="7"/>
  <c r="C19" i="7"/>
  <c r="D51" i="11"/>
  <c r="D50" i="11"/>
  <c r="D49" i="11"/>
  <c r="D48" i="11"/>
  <c r="D47" i="11"/>
  <c r="B40" i="11"/>
  <c r="B42" i="11" s="1"/>
  <c r="E47" i="6"/>
  <c r="C387" i="6"/>
  <c r="E387" i="6" s="1"/>
  <c r="E363" i="6"/>
  <c r="E362" i="6"/>
  <c r="E361" i="6"/>
  <c r="E400" i="6"/>
  <c r="E398" i="6"/>
  <c r="E396" i="6"/>
  <c r="E395" i="6"/>
  <c r="E148" i="6"/>
  <c r="D188" i="6" s="1"/>
  <c r="D292" i="6"/>
  <c r="E292" i="6" s="1"/>
  <c r="C265" i="6"/>
  <c r="C42" i="7" s="1"/>
  <c r="E196" i="6"/>
  <c r="E195" i="6"/>
  <c r="E91" i="6"/>
  <c r="E89" i="6"/>
  <c r="E82" i="6"/>
  <c r="E78" i="6"/>
  <c r="E63" i="6"/>
  <c r="E62" i="6"/>
  <c r="D83" i="6" s="1"/>
  <c r="E22" i="6"/>
  <c r="E21" i="6"/>
  <c r="E20" i="6"/>
  <c r="E23" i="6"/>
  <c r="E37" i="6"/>
  <c r="E33" i="6"/>
  <c r="E32" i="6"/>
  <c r="E31" i="6"/>
  <c r="E6" i="6"/>
  <c r="D141" i="5"/>
  <c r="C28" i="7"/>
  <c r="D121" i="5"/>
  <c r="C121" i="5"/>
  <c r="E119" i="5"/>
  <c r="E117" i="5"/>
  <c r="D111" i="5"/>
  <c r="C111" i="5"/>
  <c r="E93" i="5"/>
  <c r="E92" i="5"/>
  <c r="E91" i="5"/>
  <c r="E90" i="5"/>
  <c r="E89" i="5"/>
  <c r="E84" i="5"/>
  <c r="E82" i="5"/>
  <c r="E72" i="5"/>
  <c r="E71" i="5"/>
  <c r="E70" i="5"/>
  <c r="E52" i="5"/>
  <c r="E51" i="5"/>
  <c r="E50" i="5"/>
  <c r="E49" i="5"/>
  <c r="E48" i="5"/>
  <c r="E46" i="5"/>
  <c r="E45" i="5"/>
  <c r="E33" i="5"/>
  <c r="E31" i="5"/>
  <c r="E29" i="5"/>
  <c r="E24" i="5"/>
  <c r="E8" i="5"/>
  <c r="E7" i="5"/>
  <c r="E6" i="5"/>
  <c r="E35" i="1"/>
  <c r="D63" i="1" s="1"/>
  <c r="D412" i="6" l="1"/>
  <c r="D46" i="7" s="1"/>
  <c r="D61" i="5"/>
  <c r="D23" i="7" s="1"/>
  <c r="D43" i="7"/>
  <c r="C24" i="6"/>
  <c r="C32" i="7" s="1"/>
  <c r="C38" i="6"/>
  <c r="C33" i="7" s="1"/>
  <c r="C61" i="5"/>
  <c r="C23" i="7" s="1"/>
  <c r="C49" i="6"/>
  <c r="C34" i="7" s="1"/>
  <c r="D35" i="7"/>
  <c r="D24" i="6"/>
  <c r="D32" i="7" s="1"/>
  <c r="C83" i="6"/>
  <c r="D72" i="11"/>
  <c r="B73" i="11"/>
  <c r="D61" i="1" s="1"/>
  <c r="C412" i="6"/>
  <c r="C46" i="7" s="1"/>
  <c r="C95" i="6"/>
  <c r="C36" i="7" s="1"/>
  <c r="C390" i="6"/>
  <c r="C45" i="7" s="1"/>
  <c r="C227" i="6"/>
  <c r="C41" i="7" s="1"/>
  <c r="C37" i="7"/>
  <c r="E73" i="5"/>
  <c r="E74" i="5" s="1"/>
  <c r="C101" i="5" s="1"/>
  <c r="D19" i="7"/>
  <c r="C20" i="7"/>
  <c r="D20" i="7"/>
  <c r="D27" i="7"/>
  <c r="D227" i="6"/>
  <c r="D41" i="7" s="1"/>
  <c r="D38" i="6"/>
  <c r="D33" i="7" s="1"/>
  <c r="D42" i="7"/>
  <c r="D40" i="7"/>
  <c r="C27" i="7"/>
  <c r="D120" i="5"/>
  <c r="D26" i="7" s="1"/>
  <c r="C25" i="7"/>
  <c r="D28" i="7"/>
  <c r="E94" i="5"/>
  <c r="D53" i="11"/>
  <c r="B55" i="11" s="1"/>
  <c r="B64" i="11" s="1"/>
  <c r="C102" i="1"/>
  <c r="D17" i="7"/>
  <c r="C29" i="7"/>
  <c r="C150" i="5" l="1"/>
  <c r="B65" i="11"/>
  <c r="D60" i="1" s="1"/>
  <c r="D102" i="1" s="1"/>
  <c r="D64" i="11"/>
  <c r="C35" i="7"/>
  <c r="C47" i="7" s="1"/>
  <c r="C10" i="7" s="1"/>
  <c r="C414" i="6"/>
  <c r="D150" i="5"/>
  <c r="D30" i="7"/>
  <c r="D9" i="7" s="1"/>
  <c r="D18" i="7" l="1"/>
  <c r="D21" i="7" s="1"/>
  <c r="D414" i="6"/>
  <c r="D47" i="7"/>
  <c r="D10" i="7" s="1"/>
  <c r="C24" i="7"/>
  <c r="C30" i="7" s="1"/>
  <c r="C9" i="7" s="1"/>
  <c r="C17" i="7"/>
  <c r="C21" i="7" s="1"/>
  <c r="C8" i="7" s="1"/>
  <c r="C11" i="7" l="1"/>
  <c r="D8" i="7" l="1"/>
  <c r="D11" i="7" s="1"/>
  <c r="C12" i="7" s="1"/>
</calcChain>
</file>

<file path=xl/sharedStrings.xml><?xml version="1.0" encoding="utf-8"?>
<sst xmlns="http://schemas.openxmlformats.org/spreadsheetml/2006/main" count="1877" uniqueCount="1637">
  <si>
    <t>LEGAL</t>
  </si>
  <si>
    <t>BMP</t>
  </si>
  <si>
    <t>• Minimum tillage fields</t>
  </si>
  <si>
    <t>• Leave</t>
  </si>
  <si>
    <t>• Termination of employment</t>
  </si>
  <si>
    <t>Compliance with the Skills Development Levies Act 9 of 1999</t>
  </si>
  <si>
    <t xml:space="preserve">Waterways </t>
  </si>
  <si>
    <t>Roads are sited to minimise soil loss.</t>
  </si>
  <si>
    <t>Roads are constructed to minimise soil loss</t>
  </si>
  <si>
    <t>Road maintenance</t>
  </si>
  <si>
    <t>Road bridges are constructed to accommodate floods</t>
  </si>
  <si>
    <t>Minimum tillage is practised to minimise soil erosion.</t>
  </si>
  <si>
    <t>Strip planting is practised to minimise soil loss.</t>
  </si>
  <si>
    <t>Evaluation</t>
  </si>
  <si>
    <t>Monitoring Water Quality</t>
  </si>
  <si>
    <t>Salinity and Sodicity</t>
  </si>
  <si>
    <t>Irrigation with wastewater</t>
  </si>
  <si>
    <t>Farmers comply with the Agricultural Pests Act 36 of 1993.</t>
  </si>
  <si>
    <t>Farmers comply with the Sugar Act 9 of 1978.</t>
  </si>
  <si>
    <t>Farmers have implemented an Integrated Pest Management System</t>
  </si>
  <si>
    <t>Application of agrochemicals</t>
  </si>
  <si>
    <t>Operators and equipment</t>
  </si>
  <si>
    <t xml:space="preserve">Disposal of containers and unused chemicals </t>
  </si>
  <si>
    <t>Worker Compensation.
Farmers provide for compensation for disablement, diseases or death 
resulting from occupational activities as prescribed by the Compensation 
for Occupational Injuries and Diseases Act 130 of 1993.</t>
  </si>
  <si>
    <t>Drainage management</t>
  </si>
  <si>
    <t>Road culverts are in place to manage water discharge and 
minimise soil loss.</t>
  </si>
  <si>
    <t>1.1 Land Use Plan</t>
  </si>
  <si>
    <t>1.2 Annual Production Plan</t>
  </si>
  <si>
    <t>1.3 Annual Financial Plan</t>
  </si>
  <si>
    <t>2.1 Health and Safety</t>
  </si>
  <si>
    <t>2.2 Labour</t>
  </si>
  <si>
    <t>2.3 Land Tenure</t>
  </si>
  <si>
    <t>2.5 Skills Development</t>
  </si>
  <si>
    <t>2.6 Public Recreation</t>
  </si>
  <si>
    <t>2.7 Heritage</t>
  </si>
  <si>
    <t>3.14 Agrochemicals</t>
  </si>
  <si>
    <t>PROSPERITY</t>
  </si>
  <si>
    <t>PEOPLE</t>
  </si>
  <si>
    <t>PLANET</t>
  </si>
  <si>
    <t>SCORE SUMMARY</t>
  </si>
  <si>
    <t>TOTAL</t>
  </si>
  <si>
    <t>SCORE DETAILS</t>
  </si>
  <si>
    <t>• Wet agricultural land (relic wetlands)</t>
  </si>
  <si>
    <t>Biological Weed Control</t>
  </si>
  <si>
    <t>• Soil parent material</t>
  </si>
  <si>
    <t>• Soil form including depth, total available water (TAW) and erodibility</t>
  </si>
  <si>
    <t>• Historically or culturally important sites</t>
  </si>
  <si>
    <t>N/A</t>
  </si>
  <si>
    <t>• Replant dates</t>
  </si>
  <si>
    <t>• Net irrigation water used</t>
  </si>
  <si>
    <t>Do you draw up cash flow and savings projections annually?</t>
  </si>
  <si>
    <t>Are all transactions associated with the farming activities captured on a monthly basis and are monthly reports generated?</t>
  </si>
  <si>
    <t>Are there monthly reviews of the budget and cash flow and forecasts for the following months in order to take action when required?</t>
  </si>
  <si>
    <t>Do you have a full understanding of the obligations of a business owner?</t>
  </si>
  <si>
    <t>Health and Safety Representatives.</t>
  </si>
  <si>
    <t xml:space="preserve">Compliance with the Basic Conditions of Employment Act, 75 of 1997 </t>
  </si>
  <si>
    <t>National Heritage Resources Act 25 of 1999</t>
  </si>
  <si>
    <t>Occupational Health and Safety Act 85 of 1993.</t>
  </si>
  <si>
    <t>Village Management.
Farmers who provide employee villages ensure that the villages are safe and without risk to the health of the employee.</t>
  </si>
  <si>
    <t>Unemployment benefits.
Farmers contribute to employee unemployment benefits by complying with collection of contributions for the Unemployment Insurance Fund as prescribed by the Unemployment Insurance Contributions Act 4 of 2002.</t>
  </si>
  <si>
    <t>Conservation of Agricultural Resources Act No. 43 of 1983</t>
  </si>
  <si>
    <t>Air pollution is avoided, or where it cannot be avoided, is minimised.</t>
  </si>
  <si>
    <t>Better management practice systems are in place to prevent soil and water pollution.</t>
  </si>
  <si>
    <t>Conservation of Agricultural Resources Act 43 of 1983</t>
  </si>
  <si>
    <t xml:space="preserve">• Are the maximum slope limits, according to the soil erodibility rating in KZN, being adhered to? </t>
  </si>
  <si>
    <t>Authorised Water Use</t>
  </si>
  <si>
    <t>Planning &amp; Design</t>
  </si>
  <si>
    <t>Operation and Monitoring</t>
  </si>
  <si>
    <t>Irrigation Scheduling</t>
  </si>
  <si>
    <t>Energy Use Efficiency</t>
  </si>
  <si>
    <t>RTMS Accreditation</t>
  </si>
  <si>
    <t>Do you make use of the services of a haulier?</t>
  </si>
  <si>
    <t>Driver Wellness</t>
  </si>
  <si>
    <t>Driver Training</t>
  </si>
  <si>
    <t>Record Keeping</t>
  </si>
  <si>
    <t>• Record of driving hours</t>
  </si>
  <si>
    <t>• Vehicle service and maintenance records</t>
  </si>
  <si>
    <t>• Vehicle fault reports</t>
  </si>
  <si>
    <t>• Accident and incident reports</t>
  </si>
  <si>
    <t>• Trip-mass records</t>
  </si>
  <si>
    <t>Are detailed records kept of the following documents pertaining to the loading and haulage operation?</t>
  </si>
  <si>
    <t>HAULAGE</t>
  </si>
  <si>
    <t xml:space="preserve">• Average RV% </t>
  </si>
  <si>
    <t>PRODUCTION STANDARDS</t>
  </si>
  <si>
    <t>Do you undertake an annual review of the profitability of the business?</t>
  </si>
  <si>
    <t>• Employer name and address</t>
  </si>
  <si>
    <t>• Notice period</t>
  </si>
  <si>
    <t>Waste disposal</t>
  </si>
  <si>
    <t>RECORD KEEPING</t>
  </si>
  <si>
    <t>The production potential of the land is maintained or enhanced through recording and monitoring inputs and outputs.</t>
  </si>
  <si>
    <t>LAND USE PLAN</t>
  </si>
  <si>
    <t>FINANCIAL COMPLIANCE</t>
  </si>
  <si>
    <t>ANNUAL FINANCIAL PLAN</t>
  </si>
  <si>
    <t>HEALTH AND SAFETY</t>
  </si>
  <si>
    <t>LABOUR</t>
  </si>
  <si>
    <t>LAND TENURE</t>
  </si>
  <si>
    <t>COMMUNITY DEVELOPMENT &amp; STAKEHOLDER ENGAGEMENT</t>
  </si>
  <si>
    <t>SKILLS DEVELOPMENT</t>
  </si>
  <si>
    <t>PUBLIC RECREATION</t>
  </si>
  <si>
    <t>HERITAGE</t>
  </si>
  <si>
    <t>Disposal of hazardous substances</t>
  </si>
  <si>
    <t>Does your record-keeping system include the following?</t>
  </si>
  <si>
    <t>GROWER NAME</t>
  </si>
  <si>
    <t>FARM NAME</t>
  </si>
  <si>
    <t>TOTAL FARM SIZE</t>
  </si>
  <si>
    <r>
      <rPr>
        <sz val="11"/>
        <color theme="0"/>
        <rFont val="Arial"/>
        <family val="2"/>
      </rPr>
      <t>SUSFARMS PROGRESS TRACKER</t>
    </r>
    <r>
      <rPr>
        <sz val="24"/>
        <color theme="0"/>
        <rFont val="Arial"/>
        <family val="2"/>
      </rPr>
      <t xml:space="preserve">
REPORT</t>
    </r>
  </si>
  <si>
    <t>GROWER CODE</t>
  </si>
  <si>
    <t>NOTES</t>
  </si>
  <si>
    <t>1.4 Financial Compliance</t>
  </si>
  <si>
    <t>2.4 Community Development &amp; Stakeholder Engagement</t>
  </si>
  <si>
    <t>Do you have a field specific record-keeping system in place?</t>
  </si>
  <si>
    <t>Do you prepare an annual budget for income and expenses as per the  production plan and for monthly expenses such as living costs, finance costs, insurance and also asset replacement, taxes, bonds and hire purchase?</t>
  </si>
  <si>
    <t>IRRIGATED</t>
  </si>
  <si>
    <t>SUPPLEMENTARY-IRRIGATED</t>
  </si>
  <si>
    <t>RAINFED</t>
  </si>
  <si>
    <t>CATEGORY</t>
  </si>
  <si>
    <t>GENERAL</t>
  </si>
  <si>
    <t>FARM INFORMATION</t>
  </si>
  <si>
    <t>AVERAGE FARM RV%</t>
  </si>
  <si>
    <t>HECTARES</t>
  </si>
  <si>
    <t>PRIMARY ENERGY USE</t>
  </si>
  <si>
    <t>DIRECT ENERGY</t>
  </si>
  <si>
    <t>CONVERSION FACTOR</t>
  </si>
  <si>
    <t>INDIRECT ENERGY USE</t>
  </si>
  <si>
    <t>ENERGY USED FOR TRANSPORT</t>
  </si>
  <si>
    <t>TOTAL CHEMICAL APPLIED</t>
  </si>
  <si>
    <t>TOTAL DIRECT ENERGY</t>
  </si>
  <si>
    <t>TOTAL INDIRECT ENERGY USED</t>
  </si>
  <si>
    <t>TOTAL DIESEL AND ELECTRICITY</t>
  </si>
  <si>
    <t>ENERGY USED FOR TRANSPORTING CHEMICALS</t>
  </si>
  <si>
    <t>TOTAL PRIMARY ENERGY</t>
  </si>
  <si>
    <t>ENERGY USED IN CANE TRANSPORT</t>
  </si>
  <si>
    <t>AMOUNT</t>
  </si>
  <si>
    <t>POTASSIUM</t>
  </si>
  <si>
    <t>NITROGEN</t>
  </si>
  <si>
    <t>PHOSPHORUS</t>
  </si>
  <si>
    <t>Agromate</t>
  </si>
  <si>
    <t>Alachlor</t>
  </si>
  <si>
    <t>Amazon 480 SC</t>
  </si>
  <si>
    <t>Amistar Xtra</t>
  </si>
  <si>
    <t>Atraflo 500 SC</t>
  </si>
  <si>
    <t>Atrazine 900 WG</t>
  </si>
  <si>
    <t>Atrazine SC</t>
  </si>
  <si>
    <t>Basta</t>
  </si>
  <si>
    <t>Brigadier 750 WG</t>
  </si>
  <si>
    <t>Diron 800 WG</t>
  </si>
  <si>
    <t>Diurex 800 SC</t>
  </si>
  <si>
    <t>Falcon Gold</t>
  </si>
  <si>
    <t>Fusilade Forte</t>
  </si>
  <si>
    <t>Guillotine 750 WG</t>
  </si>
  <si>
    <t>Harpoon 200 SL</t>
  </si>
  <si>
    <t>Hexazinone 75 DF</t>
  </si>
  <si>
    <t>Kalach 510 SL</t>
  </si>
  <si>
    <t>Lumax</t>
  </si>
  <si>
    <t>Ha</t>
  </si>
  <si>
    <t>Km</t>
  </si>
  <si>
    <t>Develop 800 WDG</t>
  </si>
  <si>
    <t>Extend 800 WDG</t>
  </si>
  <si>
    <t>• Net electricity usage for sugarcane production</t>
  </si>
  <si>
    <t>EXTENSION AREA</t>
  </si>
  <si>
    <t>EXTENSION REGIONS</t>
  </si>
  <si>
    <t>Lower South Coast</t>
  </si>
  <si>
    <t>South Coast</t>
  </si>
  <si>
    <t>Midlands South</t>
  </si>
  <si>
    <t>Midlands North</t>
  </si>
  <si>
    <t>North Coast</t>
  </si>
  <si>
    <t>Zululand South</t>
  </si>
  <si>
    <t>Zululand North</t>
  </si>
  <si>
    <t>Umfolozi</t>
  </si>
  <si>
    <t>Pongola</t>
  </si>
  <si>
    <t>• Road drainage for all roads</t>
  </si>
  <si>
    <t>• Sugarcane yield (t/ha)</t>
  </si>
  <si>
    <r>
      <t>•</t>
    </r>
    <r>
      <rPr>
        <sz val="10"/>
        <color rgb="FFFF0000"/>
        <rFont val="Arial"/>
        <family val="2"/>
      </rPr>
      <t xml:space="preserve"> </t>
    </r>
    <r>
      <rPr>
        <sz val="10"/>
        <color theme="1"/>
        <rFont val="Arial"/>
        <family val="2"/>
      </rPr>
      <t>Area planted to each variety recorded annually in hectares</t>
    </r>
  </si>
  <si>
    <t xml:space="preserve">• Area under cane </t>
  </si>
  <si>
    <t>• Employee's wage or hourly rate, rate of pay for overtime and method of payment</t>
  </si>
  <si>
    <r>
      <rPr>
        <b/>
        <sz val="10"/>
        <color theme="1"/>
        <rFont val="Arial"/>
        <family val="2"/>
      </rPr>
      <t xml:space="preserve">Minimum wage: </t>
    </r>
    <r>
      <rPr>
        <sz val="10"/>
        <color theme="1"/>
        <rFont val="Arial"/>
        <family val="2"/>
      </rPr>
      <t>Are all employees (including contract, seasonal and migrant workers) receiving a wage equal to or above the minimum level?</t>
    </r>
  </si>
  <si>
    <t>What percentage of the land under cane is tilled per annum?</t>
  </si>
  <si>
    <t>Harvesting operations minimise soil loss and compaction.</t>
  </si>
  <si>
    <t>Water Monitoring, Metering and Recording</t>
  </si>
  <si>
    <t>Vleis, marshes, water sponges and water courses are protected in
 terms of regulations published under the Conservation of Agricultural
Resources Act 43 of 1983.</t>
  </si>
  <si>
    <t>The flow pattern of water is regulated in terms of regulations published 
under the Conservation of Agricultural Resources Act 43 of 1983.</t>
  </si>
  <si>
    <t>Wet agricultural land (i.e. relic wetlands)</t>
  </si>
  <si>
    <t>TOTAL AVERAGE (LEGAL AND BMP)</t>
  </si>
  <si>
    <t>Preventative Maintenance</t>
  </si>
  <si>
    <t>ECOZONE OR WARD</t>
  </si>
  <si>
    <t>Litres</t>
  </si>
  <si>
    <t>• All training conducted</t>
  </si>
  <si>
    <t>• All staff medical records</t>
  </si>
  <si>
    <t>Malelane</t>
  </si>
  <si>
    <t>Komati</t>
  </si>
  <si>
    <t>Southbroom</t>
  </si>
  <si>
    <t>Izotsha</t>
  </si>
  <si>
    <t>Umzumbe</t>
  </si>
  <si>
    <t>Oribi</t>
  </si>
  <si>
    <t>Harding</t>
  </si>
  <si>
    <t>Maringo Flats</t>
  </si>
  <si>
    <t>Murchison</t>
  </si>
  <si>
    <t>Paddock</t>
  </si>
  <si>
    <t>AMOUNT OF IRRIGATION WATER APPLIED</t>
  </si>
  <si>
    <t xml:space="preserve">The production potential of the land is maintained or enhanced through the achievement of production standards. </t>
  </si>
  <si>
    <t>RAINFALL RECEIVED</t>
  </si>
  <si>
    <t>KL</t>
  </si>
  <si>
    <t>mm</t>
  </si>
  <si>
    <t>DIESEL CONSUMED FOR ON-FARM SUGARCANE OPERATIONS</t>
  </si>
  <si>
    <t>DIESEL CONSUMED FOR TRANSPORTING SUGARCANE TO MILL</t>
  </si>
  <si>
    <t>AGROCHEMICALS</t>
  </si>
  <si>
    <t>OTHER AGROCHEMICALS</t>
  </si>
  <si>
    <t>ACTIVE INGREDIENT</t>
  </si>
  <si>
    <t>LISTED AGROCHEMICALS</t>
  </si>
  <si>
    <t>Baberton</t>
  </si>
  <si>
    <t>Hectorspruit</t>
  </si>
  <si>
    <t>Kaalrug/Inyoni</t>
  </si>
  <si>
    <t>Louw's Creek</t>
  </si>
  <si>
    <t>Malelane Projects</t>
  </si>
  <si>
    <t>Mhlati/Kaapmuiden</t>
  </si>
  <si>
    <t>Mzinti</t>
  </si>
  <si>
    <t>Nelspruit</t>
  </si>
  <si>
    <t>Amaxala</t>
  </si>
  <si>
    <t>Coopersdal</t>
  </si>
  <si>
    <t>Komati Central</t>
  </si>
  <si>
    <t>Komati Projects</t>
  </si>
  <si>
    <t>Krokodilbrug</t>
  </si>
  <si>
    <t>Powerscourt/Hillcrest</t>
  </si>
  <si>
    <t>Gumtree</t>
  </si>
  <si>
    <t>Eston</t>
  </si>
  <si>
    <t>Ntimbankulu</t>
  </si>
  <si>
    <t>Mid-Illovo North/Ismont</t>
  </si>
  <si>
    <t>Mid-Illovo South</t>
  </si>
  <si>
    <t>Richmond</t>
  </si>
  <si>
    <t>Baynesfield</t>
  </si>
  <si>
    <t>Thornville / Umlaas Road</t>
  </si>
  <si>
    <t>Tala Valley</t>
  </si>
  <si>
    <t>Umkomaas</t>
  </si>
  <si>
    <t>Coastal</t>
  </si>
  <si>
    <t>Coastal Hinterland</t>
  </si>
  <si>
    <t>Table Mountain Sandstone</t>
  </si>
  <si>
    <t>Mist Belt</t>
  </si>
  <si>
    <t>Mkuze</t>
  </si>
  <si>
    <t>Mhlangasi</t>
  </si>
  <si>
    <t>Road haulage</t>
  </si>
  <si>
    <t>Hills</t>
  </si>
  <si>
    <t>Small-scale grower</t>
  </si>
  <si>
    <t>Irrigated upper flats</t>
  </si>
  <si>
    <t>Supplementary irrigated mid flats</t>
  </si>
  <si>
    <t>Dryland upper flats (green island)</t>
  </si>
  <si>
    <t>Dryland lower flats south</t>
  </si>
  <si>
    <t>Felixton Flats</t>
  </si>
  <si>
    <t>Felixton Hills</t>
  </si>
  <si>
    <t>Mtunzini</t>
  </si>
  <si>
    <t>Mpoza</t>
  </si>
  <si>
    <t>Nkwaleni</t>
  </si>
  <si>
    <t>Empangeni Central</t>
  </si>
  <si>
    <t>Empangeni East</t>
  </si>
  <si>
    <t>Empangeni West</t>
  </si>
  <si>
    <t>Heatonville Scheme</t>
  </si>
  <si>
    <t>Heatonville Riparian</t>
  </si>
  <si>
    <t>Amatikulu</t>
  </si>
  <si>
    <t>Emoyeni</t>
  </si>
  <si>
    <t>Eshowe</t>
  </si>
  <si>
    <t>Entumeni</t>
  </si>
  <si>
    <t>Melmoth</t>
  </si>
  <si>
    <t>Dumisa</t>
  </si>
  <si>
    <t>Glen Echo</t>
  </si>
  <si>
    <t>Hibberdene North</t>
  </si>
  <si>
    <t>Hibberdene South</t>
  </si>
  <si>
    <t>Highflats/Ixopo</t>
  </si>
  <si>
    <t>Ifafa Beach</t>
  </si>
  <si>
    <t>Jolivet</t>
  </si>
  <si>
    <t>Umzinto/South</t>
  </si>
  <si>
    <t>WARDS PER REGION</t>
  </si>
  <si>
    <t>TWELVE-MONTH REPORTING PERIOD</t>
  </si>
  <si>
    <t>ELECTRICITY CONSUMED FOR SUGARCANE OPERATIONS</t>
  </si>
  <si>
    <t>AREA UNDER IRRIGATED SUGARCANE</t>
  </si>
  <si>
    <t>AREA UNDER SUPPLEMENTARY- IRRIGATED SUGARCANE</t>
  </si>
  <si>
    <t>AREA UNDER RAINFED SUGARCANE</t>
  </si>
  <si>
    <t>TOTAL AREA UNDER SUGARCANE</t>
  </si>
  <si>
    <t>OTHER CROPS CULTIVATED</t>
  </si>
  <si>
    <t>TOTAL IRRIGATED AND SUPPLEMENTARY AREA</t>
  </si>
  <si>
    <t>IRRIGATION WATER APPLIED</t>
  </si>
  <si>
    <t>ha</t>
  </si>
  <si>
    <t>mm/ha</t>
  </si>
  <si>
    <t>RAINFED POTENTIAL</t>
  </si>
  <si>
    <t>t/ha</t>
  </si>
  <si>
    <t>IRRIGATED POTENTIAL</t>
  </si>
  <si>
    <t>APPROX IRRIGATION PER HECTARE</t>
  </si>
  <si>
    <t>RAINFED AREA HARVESTED</t>
  </si>
  <si>
    <t>t</t>
  </si>
  <si>
    <t>ACTUAL YIELD</t>
  </si>
  <si>
    <t>WATER USE YIELD EFFICIENCY</t>
  </si>
  <si>
    <t>L</t>
  </si>
  <si>
    <t>DIESEL CONSUMED IN TRANSPORTING CANE TO MILL</t>
  </si>
  <si>
    <t>ANNUAL TONS CANE HARVESTED</t>
  </si>
  <si>
    <t>DIESEL FOR SUGARCANE FARM OPERATIONS</t>
  </si>
  <si>
    <t xml:space="preserve">ELECTRICITY FOR SUGARCANE OPERATIONS </t>
  </si>
  <si>
    <t>TONS CANE HARVESTED</t>
  </si>
  <si>
    <t>AVERAGE YIELD PER HECTARE</t>
  </si>
  <si>
    <t>kWh</t>
  </si>
  <si>
    <t>MJ/t</t>
  </si>
  <si>
    <t>MJ</t>
  </si>
  <si>
    <t xml:space="preserve">
</t>
  </si>
  <si>
    <t xml:space="preserve">
</t>
  </si>
  <si>
    <t xml:space="preserve"> </t>
  </si>
  <si>
    <t>AVERAGE POTENTIAL YIELD</t>
  </si>
  <si>
    <t>IRRIGATION AREA ONLY</t>
  </si>
  <si>
    <t>IRRIGATED WATER USE EFFICIENCY</t>
  </si>
  <si>
    <t>AVERAGE LEAD DISTANCE TO MILL (i.e. one-way)</t>
  </si>
  <si>
    <t xml:space="preserve"> - Soil pH</t>
  </si>
  <si>
    <t xml:space="preserve"> - Acid saturation</t>
  </si>
  <si>
    <t xml:space="preserve"> - Salinity (where this is an issue)</t>
  </si>
  <si>
    <t>• Fields suitable for mechanisation</t>
  </si>
  <si>
    <t>• Electric power supply system for irrigation</t>
  </si>
  <si>
    <t>PROFILE</t>
  </si>
  <si>
    <t>• Dams, dyke and canal network for irrigation</t>
  </si>
  <si>
    <t>• Bulk and infield Irrigation system design</t>
  </si>
  <si>
    <t>• All fertiliser applications</t>
  </si>
  <si>
    <t xml:space="preserve">• All agrochemicals applications (herbicides, insecticides, nematicides, fungicides, ripeners) </t>
  </si>
  <si>
    <t>• Net  diesel used  for all sugarcane production operations</t>
  </si>
  <si>
    <t>• Net  diesel used  for sugarcane transport to mill</t>
  </si>
  <si>
    <t>• Annual rainfall</t>
  </si>
  <si>
    <t>Are Annual Financial Statements prepared?</t>
  </si>
  <si>
    <r>
      <t xml:space="preserve">Forced labour: </t>
    </r>
    <r>
      <rPr>
        <sz val="10"/>
        <color theme="1"/>
        <rFont val="Arial"/>
        <family val="2"/>
      </rPr>
      <t>Have there been any valid reports or evidence of forced labour on the farm?</t>
    </r>
  </si>
  <si>
    <t>Stakeholder engagement</t>
  </si>
  <si>
    <t>Mapping</t>
  </si>
  <si>
    <t>Have you implemented the following measures to protect irrigated land against waterlogging and salination?</t>
  </si>
  <si>
    <t>Storage of fertilisers and agrochemicals</t>
  </si>
  <si>
    <t>%</t>
  </si>
  <si>
    <t>Tons</t>
  </si>
  <si>
    <t>MASS of ai /ha</t>
  </si>
  <si>
    <t>Total mass of ai</t>
  </si>
  <si>
    <t>g/L</t>
  </si>
  <si>
    <t>kg/ha</t>
  </si>
  <si>
    <r>
      <t>m</t>
    </r>
    <r>
      <rPr>
        <sz val="8"/>
        <color rgb="FF00863D"/>
        <rFont val="Arial"/>
        <family val="2"/>
      </rPr>
      <t xml:space="preserve">3 or </t>
    </r>
    <r>
      <rPr>
        <sz val="10"/>
        <color rgb="FF00863D"/>
        <rFont val="Arial"/>
        <family val="2"/>
      </rPr>
      <t>KL</t>
    </r>
  </si>
  <si>
    <t>ACTUAL IRRIGATED YIELD</t>
  </si>
  <si>
    <t>IRRIGATED AREA HARVESTED</t>
  </si>
  <si>
    <t>YIELD PER HA</t>
  </si>
  <si>
    <t>LESS: RAIFALL YIELD IN IRRIGATED AREA</t>
  </si>
  <si>
    <t>GAINS FROM IRRIGATION</t>
  </si>
  <si>
    <t>POTENTIAL YIELD FROM IRRIGATION ONLY</t>
  </si>
  <si>
    <t>• Records of sampling (done at least once every four years) for the following:</t>
  </si>
  <si>
    <r>
      <rPr>
        <b/>
        <sz val="10"/>
        <color rgb="FFC00000"/>
        <rFont val="Arial"/>
        <family val="2"/>
      </rPr>
      <t>2.2 LABOUR</t>
    </r>
    <r>
      <rPr>
        <b/>
        <sz val="10"/>
        <color theme="1"/>
        <rFont val="Arial"/>
        <family val="2"/>
      </rPr>
      <t xml:space="preserve">
STATEMENT OF INTENT 
The right to fair labour practice is upheld.</t>
    </r>
  </si>
  <si>
    <t>NOTES…</t>
  </si>
  <si>
    <r>
      <rPr>
        <b/>
        <sz val="10"/>
        <color rgb="FFC00000"/>
        <rFont val="Arial"/>
        <family val="2"/>
      </rPr>
      <t xml:space="preserve">
1.3 ANNUAL FINANCIAL PLAN
</t>
    </r>
    <r>
      <rPr>
        <b/>
        <sz val="10"/>
        <color theme="1"/>
        <rFont val="Arial"/>
        <family val="2"/>
      </rPr>
      <t xml:space="preserve">STATEMENT OF INTENT : Profitability and viability of a farming operation is planned on an annual basis.
</t>
    </r>
  </si>
  <si>
    <r>
      <rPr>
        <b/>
        <sz val="10"/>
        <color rgb="FFC00000"/>
        <rFont val="Arial"/>
        <family val="2"/>
      </rPr>
      <t xml:space="preserve">
1.1 LAND USE PLAN</t>
    </r>
    <r>
      <rPr>
        <b/>
        <sz val="10"/>
        <color rgb="FFFF0000"/>
        <rFont val="Arial"/>
        <family val="2"/>
      </rPr>
      <t xml:space="preserve">
</t>
    </r>
    <r>
      <rPr>
        <b/>
        <sz val="10"/>
        <color theme="1"/>
        <rFont val="Arial"/>
        <family val="2"/>
      </rPr>
      <t xml:space="preserve">STATEMENT OF INTENT : The agronomic and mechanisation practices of the sugarcane farm are integrated with the climate, 
soils, water and topography to obtain optimum and sustained economic crop production.
</t>
    </r>
  </si>
  <si>
    <r>
      <rPr>
        <b/>
        <sz val="10"/>
        <color rgb="FFC00000"/>
        <rFont val="Arial"/>
        <family val="2"/>
      </rPr>
      <t>1.2 ANNUAL PRODUCTION PLAN</t>
    </r>
    <r>
      <rPr>
        <b/>
        <sz val="10"/>
        <color theme="1"/>
        <rFont val="Arial"/>
        <family val="2"/>
      </rPr>
      <t xml:space="preserve">
STATEMENT OF INTENT : Production potential of the land is maintained or enhanced.</t>
    </r>
  </si>
  <si>
    <t>• For irrigated fields, surface and subsurface water management structures i.e. drainage system network 
(dimensions stipulated in SABI norms) and waterways</t>
  </si>
  <si>
    <r>
      <rPr>
        <b/>
        <sz val="10"/>
        <color rgb="FFC00000"/>
        <rFont val="Arial"/>
        <family val="2"/>
      </rPr>
      <t>2.1 HEALTH AND SAFETY</t>
    </r>
    <r>
      <rPr>
        <b/>
        <sz val="10"/>
        <color theme="1"/>
        <rFont val="Arial"/>
        <family val="2"/>
      </rPr>
      <t xml:space="preserve">
STATEMENT OF INTENT : A working environment that is safe and without risk to the health of the employees is provided and maintained. </t>
    </r>
  </si>
  <si>
    <r>
      <rPr>
        <b/>
        <sz val="10"/>
        <color rgb="FFC00000"/>
        <rFont val="Arial"/>
        <family val="2"/>
      </rPr>
      <t>2.4 COMMUNITY DEVELOPMENT &amp; STAKEHOLDER ENGAGEMENT</t>
    </r>
    <r>
      <rPr>
        <b/>
        <sz val="10"/>
        <color theme="1"/>
        <rFont val="Arial"/>
        <family val="2"/>
      </rPr>
      <t xml:space="preserve">
STATEMENT OF INTENT : Farmers contribute towards the economy of the local community and engage stakeholders effectively.</t>
    </r>
  </si>
  <si>
    <r>
      <rPr>
        <b/>
        <sz val="10"/>
        <color rgb="FFC00000"/>
        <rFont val="Arial"/>
        <family val="2"/>
      </rPr>
      <t>2.5 SKILLS DEVELOPMENT</t>
    </r>
    <r>
      <rPr>
        <b/>
        <sz val="10"/>
        <color theme="1"/>
        <rFont val="Arial"/>
        <family val="2"/>
      </rPr>
      <t xml:space="preserve">
STATEMENT OF INTENT : Farmers contribute towards skills development. </t>
    </r>
  </si>
  <si>
    <r>
      <rPr>
        <b/>
        <sz val="10"/>
        <color rgb="FFC00000"/>
        <rFont val="Arial"/>
        <family val="2"/>
      </rPr>
      <t>2.6 PUBLIC RECREATION</t>
    </r>
    <r>
      <rPr>
        <b/>
        <sz val="10"/>
        <color theme="1"/>
        <rFont val="Arial"/>
        <family val="2"/>
      </rPr>
      <t xml:space="preserve">
STATEMENT OF INTENT : Recreational facilities for the public are provided on a voluntary basis.</t>
    </r>
  </si>
  <si>
    <r>
      <rPr>
        <b/>
        <sz val="10"/>
        <color rgb="FFC00000"/>
        <rFont val="Arial"/>
        <family val="2"/>
      </rPr>
      <t>2.7 HERITAGE</t>
    </r>
    <r>
      <rPr>
        <b/>
        <sz val="10"/>
        <color theme="1"/>
        <rFont val="Arial"/>
        <family val="2"/>
      </rPr>
      <t xml:space="preserve">
STATEMENT OF INTENT : Cultural assets are protected.</t>
    </r>
  </si>
  <si>
    <t>If you are undertaking any of the following activities, do you have appropriate authorisation?</t>
  </si>
  <si>
    <t>Environment Conservation Act (sections 21, 22 and 26)
National Environmental Management Act 107 of 1998 (section 24).</t>
  </si>
  <si>
    <t>• Irrigation blocks</t>
  </si>
  <si>
    <t>• Irrigation types</t>
  </si>
  <si>
    <t>• Name and occupation of Employee (or a brief description of the work for which the farm worker is employed)</t>
  </si>
  <si>
    <t>• Place of work that the Employee is required to tender services</t>
  </si>
  <si>
    <t>• Date employment began</t>
  </si>
  <si>
    <t>• Days of work, ordinary working hours and overtime limits</t>
  </si>
  <si>
    <t>• Any deductions to be made from wages</t>
  </si>
  <si>
    <t>TODAY'S DATE</t>
  </si>
  <si>
    <t>VOLUME / MASS</t>
  </si>
  <si>
    <t>LIME / GYPSUM</t>
  </si>
  <si>
    <t xml:space="preserve"> 11 Muden</t>
  </si>
  <si>
    <t>1   Bishopstowe/Hilton</t>
  </si>
  <si>
    <t>2   Table Mountain/Umgeni</t>
  </si>
  <si>
    <t>3   Mpolweni / Wartburg</t>
  </si>
  <si>
    <t>4   Windy Hill / Bruyns Hill / Harburg</t>
  </si>
  <si>
    <t>6   Mt Elias / Glenside</t>
  </si>
  <si>
    <t>7   Seven Oaks</t>
  </si>
  <si>
    <t>8   New Hanover / York / Albert Falls</t>
  </si>
  <si>
    <t>9   Greytown</t>
  </si>
  <si>
    <t>10  Kranskop</t>
  </si>
  <si>
    <t>5   Dalton / Noodsberg</t>
  </si>
  <si>
    <t>uses the 9tc/100 mm of water rule</t>
  </si>
  <si>
    <t>GPS CO-ORDINATE OF FARM LOCATION</t>
  </si>
  <si>
    <t>NITROGEN (Chemical fertiliser only, exclude organics)</t>
  </si>
  <si>
    <t>PHOSPHORUS (Chemical fertiliser only, exclude organics)</t>
  </si>
  <si>
    <t>POTASSIUM (Chemical fertiliser only, exclude organics)</t>
  </si>
  <si>
    <t>TOTAL LIME plus GYPSUM</t>
  </si>
  <si>
    <r>
      <rPr>
        <b/>
        <sz val="10"/>
        <color theme="1"/>
        <rFont val="Arial"/>
        <family val="2"/>
      </rPr>
      <t xml:space="preserve">Farmworkers: </t>
    </r>
    <r>
      <rPr>
        <sz val="10"/>
        <color theme="1"/>
        <rFont val="Arial"/>
        <family val="2"/>
      </rPr>
      <t>Is a copy of the Sectoral Determination 13 document available in the workplace?</t>
    </r>
  </si>
  <si>
    <t xml:space="preserve">Total area under cane </t>
  </si>
  <si>
    <t>Preferential employment opportunities</t>
  </si>
  <si>
    <r>
      <rPr>
        <b/>
        <sz val="10"/>
        <color theme="1"/>
        <rFont val="Arial"/>
        <family val="2"/>
      </rPr>
      <t xml:space="preserve">Option 5:  </t>
    </r>
    <r>
      <rPr>
        <sz val="10"/>
        <color theme="1"/>
        <rFont val="Arial"/>
        <family val="2"/>
      </rPr>
      <t>I do not know.</t>
    </r>
  </si>
  <si>
    <r>
      <rPr>
        <b/>
        <sz val="10"/>
        <color theme="1"/>
        <rFont val="Arial"/>
        <family val="2"/>
      </rPr>
      <t>Option 2:</t>
    </r>
    <r>
      <rPr>
        <sz val="10"/>
        <color theme="1"/>
        <rFont val="Arial"/>
        <family val="2"/>
      </rPr>
      <t xml:space="preserve">  Some water use falls outside Schedule 1 use, but is not yet registered with DWA.</t>
    </r>
  </si>
  <si>
    <t>N</t>
  </si>
  <si>
    <t>P</t>
  </si>
  <si>
    <t>K</t>
  </si>
  <si>
    <t>CONCENTRATION</t>
  </si>
  <si>
    <t xml:space="preserve">TONS FERTILISER USED  </t>
  </si>
  <si>
    <t xml:space="preserve">BLEND  </t>
  </si>
  <si>
    <t>N :P : K CALCULATOR</t>
  </si>
  <si>
    <t xml:space="preserve">TONS  N : P : K   </t>
  </si>
  <si>
    <t>amended formula for N/A option</t>
  </si>
  <si>
    <t>iferror trap added</t>
  </si>
  <si>
    <t>updated</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</si>
  <si>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</si>
  <si>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</si>
  <si>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</si>
  <si>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</si>
  <si>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</si>
  <si>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</si>
  <si>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</si>
  <si>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</si>
  <si>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</si>
  <si>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</si>
  <si>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</si>
  <si>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</si>
  <si>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</si>
  <si>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</si>
  <si>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</si>
  <si>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</si>
  <si>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</si>
  <si>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</si>
  <si>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</si>
  <si>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</si>
  <si>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</si>
  <si>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</si>
  <si>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</si>
  <si>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</si>
  <si>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1.1.3</t>
  </si>
  <si>
    <t>1.1.4</t>
  </si>
  <si>
    <t>1.1.5</t>
  </si>
  <si>
    <t>1.1.6</t>
  </si>
  <si>
    <t>1.1.7</t>
  </si>
  <si>
    <t>1.1.8</t>
  </si>
  <si>
    <t>1.1.9</t>
  </si>
  <si>
    <t>1.1.10</t>
  </si>
  <si>
    <t>1.1.11</t>
  </si>
  <si>
    <t>1.1.13</t>
  </si>
  <si>
    <t>1.1.14</t>
  </si>
  <si>
    <t>1.1.15</t>
  </si>
  <si>
    <t>1.1.16</t>
  </si>
  <si>
    <t>1.1.17</t>
  </si>
  <si>
    <t>1.1.18</t>
  </si>
  <si>
    <t>1.1.19</t>
  </si>
  <si>
    <t>1.1.20</t>
  </si>
  <si>
    <t>1.1.21</t>
  </si>
  <si>
    <t>1.1.22</t>
  </si>
  <si>
    <t>1.1.23</t>
  </si>
  <si>
    <t>1.1.24</t>
  </si>
  <si>
    <t>1.1.25</t>
  </si>
  <si>
    <t>1.1.26</t>
  </si>
  <si>
    <t>1.2.1</t>
  </si>
  <si>
    <t>1.2.2</t>
  </si>
  <si>
    <t>1.2.4</t>
  </si>
  <si>
    <t>1.2.5</t>
  </si>
  <si>
    <t>1.2.6</t>
  </si>
  <si>
    <t>1.2.8</t>
  </si>
  <si>
    <t>1.2.9</t>
  </si>
  <si>
    <t>1.2.10</t>
  </si>
  <si>
    <t>1.2.11</t>
  </si>
  <si>
    <t>1.2.12</t>
  </si>
  <si>
    <t>1.2.13</t>
  </si>
  <si>
    <t>1.2.14</t>
  </si>
  <si>
    <t>1.2.15</t>
  </si>
  <si>
    <t>1.2.16</t>
  </si>
  <si>
    <t>1.2.17</t>
  </si>
  <si>
    <t>1.2.18</t>
  </si>
  <si>
    <t>1.2.20</t>
  </si>
  <si>
    <t>1.2.21</t>
  </si>
  <si>
    <t>1.2.22</t>
  </si>
  <si>
    <t>1.2.23</t>
  </si>
  <si>
    <t>1.2.24</t>
  </si>
  <si>
    <t>1.3.1</t>
  </si>
  <si>
    <t>1.3.2</t>
  </si>
  <si>
    <t>1.3.3</t>
  </si>
  <si>
    <t>1.3.4</t>
  </si>
  <si>
    <t>1.3.5</t>
  </si>
  <si>
    <t>1.3.6</t>
  </si>
  <si>
    <t>1.3.7</t>
  </si>
  <si>
    <t>1.4.4</t>
  </si>
  <si>
    <t>1.4.5</t>
  </si>
  <si>
    <t>2.1.25</t>
  </si>
  <si>
    <t>2.1.26</t>
  </si>
  <si>
    <t>2.1.27</t>
  </si>
  <si>
    <t>2.1.28</t>
  </si>
  <si>
    <t>2.1.29</t>
  </si>
  <si>
    <t>2.1.30</t>
  </si>
  <si>
    <t>2.1.31</t>
  </si>
  <si>
    <t>2.1.32</t>
  </si>
  <si>
    <t>2.1.33</t>
  </si>
  <si>
    <t>2.1.34</t>
  </si>
  <si>
    <t>2.1.36</t>
  </si>
  <si>
    <t>2.1.37</t>
  </si>
  <si>
    <t>2.1.38</t>
  </si>
  <si>
    <t>2.1.39</t>
  </si>
  <si>
    <t>2.1.40</t>
  </si>
  <si>
    <t>2.1.41</t>
  </si>
  <si>
    <t>2.1.42</t>
  </si>
  <si>
    <t>2.1.43</t>
  </si>
  <si>
    <t>2.1.44</t>
  </si>
  <si>
    <t>2.1.45</t>
  </si>
  <si>
    <t>2.1.46</t>
  </si>
  <si>
    <t>2.1.47</t>
  </si>
  <si>
    <t>2.1.48</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</si>
  <si>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</si>
  <si>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</si>
  <si>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</si>
  <si>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</si>
  <si>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</si>
  <si>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</si>
  <si>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</si>
  <si>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</si>
  <si>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</si>
  <si>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</si>
  <si>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</si>
  <si>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</si>
  <si>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</si>
  <si>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</si>
  <si>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</si>
  <si>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</si>
  <si>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</si>
  <si>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</si>
  <si>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</si>
  <si>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</si>
  <si>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</si>
  <si>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</si>
  <si>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</si>
  <si>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</si>
  <si>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</si>
  <si>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</si>
  <si>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</si>
  <si>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2.3.1</t>
  </si>
  <si>
    <t>2.3.2</t>
  </si>
  <si>
    <t>2.3.3</t>
  </si>
  <si>
    <t>2.4.1</t>
  </si>
  <si>
    <t>2.4.2</t>
  </si>
  <si>
    <t>2.4.3</t>
  </si>
  <si>
    <t>2.5.1</t>
  </si>
  <si>
    <t>2.5.2</t>
  </si>
  <si>
    <t>2.5.3</t>
  </si>
  <si>
    <t>2.5.4</t>
  </si>
  <si>
    <t>2.6.1</t>
  </si>
  <si>
    <t>2.6.2</t>
  </si>
  <si>
    <t>2.6.3</t>
  </si>
  <si>
    <t>2.6.4</t>
  </si>
  <si>
    <t>2.6.5</t>
  </si>
  <si>
    <t>2.6.6</t>
  </si>
  <si>
    <t>2.6.7</t>
  </si>
  <si>
    <t>2.7.1</t>
  </si>
  <si>
    <t>2.7.2</t>
  </si>
  <si>
    <t>3.1.1</t>
  </si>
  <si>
    <t>3.1.2</t>
  </si>
  <si>
    <t>3.1.3</t>
  </si>
  <si>
    <t>3.2.1</t>
  </si>
  <si>
    <t>3.2.3</t>
  </si>
  <si>
    <t>3.2.4</t>
  </si>
  <si>
    <t>3.2.5</t>
  </si>
  <si>
    <t>3.2.6</t>
  </si>
  <si>
    <t>3.2.7</t>
  </si>
  <si>
    <t>3.3.1</t>
  </si>
  <si>
    <t>3.3.2</t>
  </si>
  <si>
    <t>3.3.4</t>
  </si>
  <si>
    <t>3.3.7</t>
  </si>
  <si>
    <t>3.3.8</t>
  </si>
  <si>
    <t>3.3.9</t>
  </si>
  <si>
    <t>3.3.12</t>
  </si>
  <si>
    <t>3.3.13</t>
  </si>
  <si>
    <t>3.3.15</t>
  </si>
  <si>
    <t>3.4.6</t>
  </si>
  <si>
    <t>3.4.7</t>
  </si>
  <si>
    <t>3.5.1</t>
  </si>
  <si>
    <t>3.5.3</t>
  </si>
  <si>
    <t>3.5.4</t>
  </si>
  <si>
    <t>3.5.5</t>
  </si>
  <si>
    <t>3.5.6</t>
  </si>
  <si>
    <t>3.5.7</t>
  </si>
  <si>
    <t>3.5.8</t>
  </si>
  <si>
    <t>3.5.9</t>
  </si>
  <si>
    <t>3.5.11</t>
  </si>
  <si>
    <t>3.5.12</t>
  </si>
  <si>
    <t>3.5.13</t>
  </si>
  <si>
    <t>3.5.14</t>
  </si>
  <si>
    <t>3.5.15</t>
  </si>
  <si>
    <t>3.5.17</t>
  </si>
  <si>
    <t>3.5.18</t>
  </si>
  <si>
    <t>3.5.19</t>
  </si>
  <si>
    <t>3.5.20</t>
  </si>
  <si>
    <t>3.5.21</t>
  </si>
  <si>
    <t>3.5.23</t>
  </si>
  <si>
    <t>3.5.26</t>
  </si>
  <si>
    <t>3.5.27</t>
  </si>
  <si>
    <t>3.5.28</t>
  </si>
  <si>
    <t>3.5.29</t>
  </si>
  <si>
    <t>3.6.1</t>
  </si>
  <si>
    <t>3.6.3</t>
  </si>
  <si>
    <t>3.7.1</t>
  </si>
  <si>
    <t>3.7.2</t>
  </si>
  <si>
    <t>3.7.3</t>
  </si>
  <si>
    <t>3.7.5</t>
  </si>
  <si>
    <t>3.7.6</t>
  </si>
  <si>
    <t>3.7.7</t>
  </si>
  <si>
    <t>3.7.8</t>
  </si>
  <si>
    <t>3.7.9</t>
  </si>
  <si>
    <t>3.7.10</t>
  </si>
  <si>
    <t>3.7.11</t>
  </si>
  <si>
    <t>3.7.12</t>
  </si>
  <si>
    <t>3.7.13</t>
  </si>
  <si>
    <t>3.7.14</t>
  </si>
  <si>
    <t>3.7.15</t>
  </si>
  <si>
    <t>3.7.16</t>
  </si>
  <si>
    <t>3.7.17</t>
  </si>
  <si>
    <t>3.7.18</t>
  </si>
  <si>
    <t>3.7.19</t>
  </si>
  <si>
    <t>3.7.20</t>
  </si>
  <si>
    <t>3.7.21</t>
  </si>
  <si>
    <t>3.7.23</t>
  </si>
  <si>
    <t>3.7.25</t>
  </si>
  <si>
    <t>3.7.26</t>
  </si>
  <si>
    <t>3.7.27</t>
  </si>
  <si>
    <t>3.8.1</t>
  </si>
  <si>
    <t>3.8.2</t>
  </si>
  <si>
    <t>3.8.3</t>
  </si>
  <si>
    <t>3.8.4</t>
  </si>
  <si>
    <t>3.8.5</t>
  </si>
  <si>
    <t>3.8.6</t>
  </si>
  <si>
    <t>3.8.7</t>
  </si>
  <si>
    <t>3.8.8</t>
  </si>
  <si>
    <t>3.8.9</t>
  </si>
  <si>
    <t>3.8.10</t>
  </si>
  <si>
    <t>3.8.11</t>
  </si>
  <si>
    <t>3.8.12</t>
  </si>
  <si>
    <t>3.8.13</t>
  </si>
  <si>
    <t>3.8.14</t>
  </si>
  <si>
    <t>3.8.15</t>
  </si>
  <si>
    <t>3.8.16</t>
  </si>
  <si>
    <t>3.8.17</t>
  </si>
  <si>
    <t>3.8.18</t>
  </si>
  <si>
    <t>3.8.19</t>
  </si>
  <si>
    <t>3.8.21</t>
  </si>
  <si>
    <t>3.8.22</t>
  </si>
  <si>
    <t>3.8.23</t>
  </si>
  <si>
    <t>3.8.24</t>
  </si>
  <si>
    <t>3.8.25</t>
  </si>
  <si>
    <t>3.8.26</t>
  </si>
  <si>
    <t>3.8.27</t>
  </si>
  <si>
    <t>3.8.28</t>
  </si>
  <si>
    <t>3.9.1</t>
  </si>
  <si>
    <t>3.9.2</t>
  </si>
  <si>
    <t>3.9.3</t>
  </si>
  <si>
    <t>3.9.5</t>
  </si>
  <si>
    <t>3.9.6</t>
  </si>
  <si>
    <t>3.9.7</t>
  </si>
  <si>
    <t>3.9.8</t>
  </si>
  <si>
    <t>3.9.9</t>
  </si>
  <si>
    <t>3.9.10</t>
  </si>
  <si>
    <t>3.9.11</t>
  </si>
  <si>
    <t>3.9.12</t>
  </si>
  <si>
    <t>3.9.13</t>
  </si>
  <si>
    <t>3.9.14</t>
  </si>
  <si>
    <t>3.9.15</t>
  </si>
  <si>
    <t>3.9.16</t>
  </si>
  <si>
    <t>3.9.17</t>
  </si>
  <si>
    <t>3.9.18</t>
  </si>
  <si>
    <t>3.9.20</t>
  </si>
  <si>
    <t>3.9.21</t>
  </si>
  <si>
    <t>3.9.22</t>
  </si>
  <si>
    <t>3.10.1</t>
  </si>
  <si>
    <t>3.11.1</t>
  </si>
  <si>
    <t>3.11.2</t>
  </si>
  <si>
    <t>3.11.3</t>
  </si>
  <si>
    <t>3.11.4</t>
  </si>
  <si>
    <t>3.11.5</t>
  </si>
  <si>
    <t>3.11.6</t>
  </si>
  <si>
    <t>3.11.7</t>
  </si>
  <si>
    <t>3.11.8</t>
  </si>
  <si>
    <t>3.11.9</t>
  </si>
  <si>
    <t>3.11.10</t>
  </si>
  <si>
    <t>3.11.11</t>
  </si>
  <si>
    <t>3.11.12</t>
  </si>
  <si>
    <t>3.11.13</t>
  </si>
  <si>
    <t>3.11.14</t>
  </si>
  <si>
    <t>3.11.15</t>
  </si>
  <si>
    <t>3.11.17</t>
  </si>
  <si>
    <t>3.11.18</t>
  </si>
  <si>
    <t>3.11.19</t>
  </si>
  <si>
    <t>3.11.20</t>
  </si>
  <si>
    <t>3.11.21</t>
  </si>
  <si>
    <t>3.11.22</t>
  </si>
  <si>
    <t>3.11.23</t>
  </si>
  <si>
    <t>3.11.24</t>
  </si>
  <si>
    <t>3.11.25</t>
  </si>
  <si>
    <t>3.11.26</t>
  </si>
  <si>
    <t>3.11.27</t>
  </si>
  <si>
    <t>3.11.28</t>
  </si>
  <si>
    <t>3.11.29</t>
  </si>
  <si>
    <t>3.11.30</t>
  </si>
  <si>
    <t>3.11.31</t>
  </si>
  <si>
    <t>3.12.2</t>
  </si>
  <si>
    <t>3.12.3</t>
  </si>
  <si>
    <t>3.12.4</t>
  </si>
  <si>
    <t>3.12.8</t>
  </si>
  <si>
    <t>3.12.11</t>
  </si>
  <si>
    <t>3.12.13</t>
  </si>
  <si>
    <t>3.12.17</t>
  </si>
  <si>
    <t>3.12.18</t>
  </si>
  <si>
    <t>3.12.19</t>
  </si>
  <si>
    <t>3.12.20</t>
  </si>
  <si>
    <t>3.12.21</t>
  </si>
  <si>
    <t>3.12.22</t>
  </si>
  <si>
    <t>3.12.23</t>
  </si>
  <si>
    <t>3.12.24</t>
  </si>
  <si>
    <t>3.12.25</t>
  </si>
  <si>
    <t>3.12.26</t>
  </si>
  <si>
    <t>3.13.1</t>
  </si>
  <si>
    <t>3.13.2</t>
  </si>
  <si>
    <t>3.13.3</t>
  </si>
  <si>
    <t>3.13.4</t>
  </si>
  <si>
    <t>3.13.5</t>
  </si>
  <si>
    <t>3.13.7</t>
  </si>
  <si>
    <t>3.13.8</t>
  </si>
  <si>
    <t>3.13.9</t>
  </si>
  <si>
    <t>3.13.10</t>
  </si>
  <si>
    <t>3.13.11</t>
  </si>
  <si>
    <t>3.13.12</t>
  </si>
  <si>
    <t>3.13.13</t>
  </si>
  <si>
    <t>3.13.14</t>
  </si>
  <si>
    <t>3.13.15</t>
  </si>
  <si>
    <t>3.14.1</t>
  </si>
  <si>
    <t>3.14.2</t>
  </si>
  <si>
    <t>3.14.3</t>
  </si>
  <si>
    <t>3.14.4</t>
  </si>
  <si>
    <t>3.14.5</t>
  </si>
  <si>
    <t>3.14.6</t>
  </si>
  <si>
    <t>3.14.7</t>
  </si>
  <si>
    <t>3.14.8</t>
  </si>
  <si>
    <t>3.14.9</t>
  </si>
  <si>
    <t>3.14.10</t>
  </si>
  <si>
    <t>3.14.11</t>
  </si>
  <si>
    <t>3.14.12</t>
  </si>
  <si>
    <t>3.14.13</t>
  </si>
  <si>
    <t>3.14.14</t>
  </si>
  <si>
    <t>3.14.15</t>
  </si>
  <si>
    <t>3.14.16</t>
  </si>
  <si>
    <t>3.14.17</t>
  </si>
  <si>
    <t>3.14.18</t>
  </si>
  <si>
    <t>3.14.19</t>
  </si>
  <si>
    <t>3.14.20</t>
  </si>
  <si>
    <t>3.14.21</t>
  </si>
  <si>
    <t>3.14.22</t>
  </si>
  <si>
    <t>3.15.1</t>
  </si>
  <si>
    <t>3.15.2</t>
  </si>
  <si>
    <t>3.15.3</t>
  </si>
  <si>
    <t>3.16.1</t>
  </si>
  <si>
    <t>3.16.4</t>
  </si>
  <si>
    <t>3.16.5</t>
  </si>
  <si>
    <t>3.16.6</t>
  </si>
  <si>
    <t>3.16.7</t>
  </si>
  <si>
    <t>3.16.8</t>
  </si>
  <si>
    <t>3.16.9</t>
  </si>
  <si>
    <t>3.16.10</t>
  </si>
  <si>
    <t>3.16.11</t>
  </si>
  <si>
    <t>3.16.12</t>
  </si>
  <si>
    <t>3.16.13</t>
  </si>
  <si>
    <t>3.16.14</t>
  </si>
  <si>
    <t>3.16.15</t>
  </si>
  <si>
    <t>3.16.16</t>
  </si>
  <si>
    <t>3.16.17</t>
  </si>
  <si>
    <t>3.16.18</t>
  </si>
  <si>
    <t>3.16.19</t>
  </si>
  <si>
    <t>3.16.20</t>
  </si>
  <si>
    <t>3.16.21</t>
  </si>
  <si>
    <t>3.16.22</t>
  </si>
  <si>
    <t>3.16.23</t>
  </si>
  <si>
    <t>3.16.24</t>
  </si>
  <si>
    <t>3.16.25</t>
  </si>
  <si>
    <t>3.16.26</t>
  </si>
  <si>
    <t>3.16.27</t>
  </si>
  <si>
    <t>3.16.28</t>
  </si>
  <si>
    <t>3.16.29</t>
  </si>
  <si>
    <t>3.16.30</t>
  </si>
  <si>
    <t>3.16.31</t>
  </si>
  <si>
    <t>3.16.32</t>
  </si>
  <si>
    <t>3.16.33</t>
  </si>
  <si>
    <t>3.16.34</t>
  </si>
  <si>
    <t>3.16.35</t>
  </si>
  <si>
    <t>3.16.36</t>
  </si>
  <si>
    <t>3.16.37</t>
  </si>
  <si>
    <t>3.16.38</t>
  </si>
  <si>
    <t>3..17.1</t>
  </si>
  <si>
    <t>3..17.4</t>
  </si>
  <si>
    <t>3..17.5</t>
  </si>
  <si>
    <t>3..17.6</t>
  </si>
  <si>
    <t>3..17.7</t>
  </si>
  <si>
    <t>3.11.32</t>
  </si>
  <si>
    <t>3.14.23</t>
  </si>
  <si>
    <t>3.14.24</t>
  </si>
  <si>
    <t>2.2.28</t>
  </si>
  <si>
    <t>2.2.29</t>
  </si>
  <si>
    <r>
      <t xml:space="preserve">CANE HARVESTED 
</t>
    </r>
    <r>
      <rPr>
        <sz val="10"/>
        <color theme="1"/>
        <rFont val="Arial"/>
        <family val="2"/>
      </rPr>
      <t>(</t>
    </r>
    <r>
      <rPr>
        <i/>
        <sz val="10"/>
        <color theme="1"/>
        <rFont val="Arial"/>
        <family val="2"/>
      </rPr>
      <t>Indicate the area harvested, total tons harvested and average age of cane at harvest.)</t>
    </r>
  </si>
  <si>
    <t>TOTAL TONS</t>
  </si>
  <si>
    <t>For EXISTING conditions:</t>
  </si>
  <si>
    <t>Row alignment</t>
  </si>
  <si>
    <t>Is all in-field traffic following the same path each year?</t>
  </si>
  <si>
    <t xml:space="preserve">• To construct or expand a structure (including dams) within a watercourse or within 32 metres of the edge of a watercourse? </t>
  </si>
  <si>
    <t>• To infill or deposit any material of more than 5 cubic metres into, or the dredging, excavation, removal or moving of soil, sand or rock of more than 5 cubic metres from a watercourse?</t>
  </si>
  <si>
    <t>• To physically alter virgin soil to agriculture of 100 hectares or more?</t>
  </si>
  <si>
    <t>• To construct or expand roads above prescribed thresholds?</t>
  </si>
  <si>
    <t>Coragen</t>
  </si>
  <si>
    <t>Emma</t>
  </si>
  <si>
    <t>Acetamet 700 SC</t>
  </si>
  <si>
    <t>Agrizine 500 SC</t>
  </si>
  <si>
    <t>Alion Total</t>
  </si>
  <si>
    <t>Alligator 500 EC</t>
  </si>
  <si>
    <t>Assault 700 SC</t>
  </si>
  <si>
    <t>Astron 480 SC</t>
  </si>
  <si>
    <t>Avon 750 WDG</t>
  </si>
  <si>
    <t>Dinamic 700 WG</t>
  </si>
  <si>
    <t>Direction 700 WDG</t>
  </si>
  <si>
    <t>Discipline 700 WDG</t>
  </si>
  <si>
    <t>Diuron 80 WG</t>
  </si>
  <si>
    <t>Dropzone 500 WP</t>
  </si>
  <si>
    <t>Elegance Super 750 WDG</t>
  </si>
  <si>
    <t>FarmAg Hexazinone 750 WG</t>
  </si>
  <si>
    <t>Farmazone 700 WG</t>
  </si>
  <si>
    <t>Galago S</t>
  </si>
  <si>
    <t>Glygran 710 SG</t>
  </si>
  <si>
    <t>Intelex</t>
  </si>
  <si>
    <t>Leap 840 EC</t>
  </si>
  <si>
    <t>Local 538 SC</t>
  </si>
  <si>
    <t>Locate 538 SC</t>
  </si>
  <si>
    <t>Threatened and protected species</t>
  </si>
  <si>
    <t>Threatened and protected ecosystems</t>
  </si>
  <si>
    <t>Better management practices are implemented in natural areas and heritage resources are protected:</t>
  </si>
  <si>
    <t>DO YOU SELL MATERIAL FROM AN EXISTING OR NEW QUARRY OR BORROW PIT?</t>
  </si>
  <si>
    <t>Farmers comply with the requirements of the Department of Mineral Resources and any environmental authorisation under the NEMBA EIA Regulations and Listing Notices.</t>
  </si>
  <si>
    <t>Cultivation of new land</t>
  </si>
  <si>
    <t>Choice of land newly planted to sugarcane</t>
  </si>
  <si>
    <r>
      <t xml:space="preserve">AVERAGE NUMBER OF EMPLOYEES
</t>
    </r>
    <r>
      <rPr>
        <i/>
        <sz val="10"/>
        <color rgb="FF00863D"/>
        <rFont val="Arial"/>
        <family val="2"/>
      </rPr>
      <t>Indicate ALL employees (i.e. permanent, part-time, contract staff) that have worked directly for you.</t>
    </r>
    <r>
      <rPr>
        <sz val="10"/>
        <color rgb="FF00863D"/>
        <rFont val="Arial"/>
        <family val="2"/>
      </rPr>
      <t xml:space="preserve"> </t>
    </r>
  </si>
  <si>
    <t>DO YOU USE ORGANIC FERTILISER (CHICKEN LITTER, KRAAL MANURE, MILO, FLYASH, ETC)</t>
  </si>
  <si>
    <t>Is your haulage (loading and transport) operation RTMS accredited?</t>
  </si>
  <si>
    <t>LOADING (from zone to haulage vehicle)</t>
  </si>
  <si>
    <t>AVERAGE AGE AT HARVEST (MONTHS)</t>
  </si>
  <si>
    <t>Do you have any loans or debts?</t>
  </si>
  <si>
    <t>Are you up-to-date with your loan / debt repayments?</t>
  </si>
  <si>
    <t>Do you measure your repayment ability to service your debts / loans?</t>
  </si>
  <si>
    <t>Do you evaluate whether your expenses on depreciated vehicles / equipment is justified?</t>
  </si>
  <si>
    <t>Are you registered for tax with SARS?</t>
  </si>
  <si>
    <t>Have you submitted income tax returns for the past tax year (i.e. are you up-to-date with SARS)?</t>
  </si>
  <si>
    <t>If any payments were required on the returns, have you made these payments?</t>
  </si>
  <si>
    <t>If any refunds were due to you, have you received these?</t>
  </si>
  <si>
    <t>Are you (business owners and employees) registered for PAYE?</t>
  </si>
  <si>
    <t>Are you submitting PAYE returns and paying PAYE on a monthly basis?</t>
  </si>
  <si>
    <t>Are you registered with either SARS or the UIF for the purposes of contributing to the Fund?</t>
  </si>
  <si>
    <t>Do you pay UIF contributions to SARS or the UIF in respect of  employees on a monthly basis?</t>
  </si>
  <si>
    <t>Does your annual payroll exceed R500 000?</t>
  </si>
  <si>
    <t>Do you pay a Skills Development Levy at a rate of 1% of the total remuneration payable to employees?</t>
  </si>
  <si>
    <t xml:space="preserve">Do you qualify to pay Provisional Tax? </t>
  </si>
  <si>
    <t>Are you up to date with the Provisional Tax returns and payments (Feb and August)?</t>
  </si>
  <si>
    <t>Is your annual turnover &gt; R1million?</t>
  </si>
  <si>
    <t xml:space="preserve">Are you VAT registered? </t>
  </si>
  <si>
    <t>HOW MANY OF THESE ARE WOMEN?</t>
  </si>
  <si>
    <t>Abacus Advance</t>
  </si>
  <si>
    <t>Sometimes (25-50%)</t>
  </si>
  <si>
    <t>OPTION SCORES</t>
  </si>
  <si>
    <t>Always (100%)</t>
  </si>
  <si>
    <t>DO YOU HAVE ANY UNCULTIVATED NATURAL AREAS ON YOUR FARM e.g. forests, grasslands,natural watercourses and wetlands ?</t>
  </si>
  <si>
    <t>Some (0-33%)</t>
  </si>
  <si>
    <t>Mostly (34-66%)</t>
  </si>
  <si>
    <t>Most (34-66%)</t>
  </si>
  <si>
    <t>All (100%)</t>
  </si>
  <si>
    <t>Does the farm have waterway/s?</t>
  </si>
  <si>
    <t>• Fields suitable for green cane harvesting (trashing)</t>
  </si>
  <si>
    <t>Efficiency% compared against 5kg/ha</t>
  </si>
  <si>
    <t>% (x 100)</t>
  </si>
  <si>
    <t>3.3 Fire</t>
  </si>
  <si>
    <t>3.4 Pollution Control</t>
  </si>
  <si>
    <t>3.2 Alien and Invasive Species</t>
  </si>
  <si>
    <t>3.5 Transformation of the Natural Environment</t>
  </si>
  <si>
    <t>3.6 Quarries</t>
  </si>
  <si>
    <t>3.7 Water Use</t>
  </si>
  <si>
    <t>3.8 Wetlands and Watercourses</t>
  </si>
  <si>
    <t>3.9 Irrigation and Drainage</t>
  </si>
  <si>
    <t>3.10 Soil Conservation: Layout</t>
  </si>
  <si>
    <t>3.11 Soil Conservation: Extraction</t>
  </si>
  <si>
    <t>3.12 Soil Conservation: Management</t>
  </si>
  <si>
    <t>3.13 Haulage</t>
  </si>
  <si>
    <t>3.15 Pests and Diseases</t>
  </si>
  <si>
    <t>(formatted as two decimal places for proper display in production report)</t>
  </si>
  <si>
    <t>DO YOU HAVE AN EXISTING OR NEW QUARRY OR BORROW PIT ON YOUR FARM?</t>
  </si>
  <si>
    <t>Do you take note of the mill average (yield) in order to benchmark your own productivity?</t>
  </si>
  <si>
    <t>Note: The last two items are for information only and are not taken into account for scoring purposes.</t>
  </si>
  <si>
    <t>Have you established the yield potential of your farm by using an appropriate tool (e.g.MyCanesim or StalkGro) in order to benchmark your own productivity?</t>
  </si>
  <si>
    <r>
      <rPr>
        <sz val="10"/>
        <color theme="1"/>
        <rFont val="Arial"/>
        <family val="2"/>
      </rPr>
      <t xml:space="preserve">Schedule 1 Water Use refers to water used for domestic purposes, or water is that is used from roof run-off, or water used in an emergency (see notes.) 
Water use that falls outside Schedule 1 includes:
taking and storing water, activities which reduce stream flow (e.g. cultivation of crops), waste discharges and disposals, controlled activities (activities which impact detrimentally on a water resource), altering a watercourse, removing water found underground for certain purposes, and recreation. 
If any water use  falls outside Schedule 1 use, it must be registered with the Department of Water Affairs who will process the necessary authorisation. 
</t>
    </r>
    <r>
      <rPr>
        <b/>
        <sz val="10"/>
        <color theme="1"/>
        <rFont val="Arial"/>
        <family val="2"/>
      </rPr>
      <t xml:space="preserve">
Please select an option below that best describes your situation.</t>
    </r>
  </si>
  <si>
    <t>Dryland lower flats east</t>
  </si>
  <si>
    <t>Average mass of agrochemical active ingredient applied. (Kg/ha).
Your average of                  kg/ha is compared agains a standard of 5 kg/ha.</t>
  </si>
  <si>
    <t>RV Efficiency
Your RV% average of        is compared against an industry average of 10%.</t>
  </si>
  <si>
    <t>Are you paying and submitting VAT returns as required?</t>
  </si>
  <si>
    <t>Safe Working Environment.
The farmer provides and maintains systems of work, plant and machinery that are safe and without risks to health.</t>
  </si>
  <si>
    <t>Does your contract have details of the following:</t>
  </si>
  <si>
    <r>
      <rPr>
        <b/>
        <sz val="10"/>
        <color theme="1"/>
        <rFont val="Arial"/>
        <family val="2"/>
      </rPr>
      <t>Option 3</t>
    </r>
    <r>
      <rPr>
        <sz val="10"/>
        <color theme="1"/>
        <rFont val="Arial"/>
        <family val="2"/>
      </rPr>
      <t>: Some water use falls outside Schedule 1, registration has taken place but authorisation has not yet been received.</t>
    </r>
  </si>
  <si>
    <r>
      <rPr>
        <b/>
        <sz val="10"/>
        <color theme="1"/>
        <rFont val="Arial"/>
        <family val="2"/>
      </rPr>
      <t>Option 4:</t>
    </r>
    <r>
      <rPr>
        <sz val="10"/>
        <color theme="1"/>
        <rFont val="Arial"/>
        <family val="2"/>
      </rPr>
      <t xml:space="preserve">  Some water use falls outside Schedule 1, registration has taken place and authorisation received.</t>
    </r>
  </si>
  <si>
    <t>Natural watercourses</t>
  </si>
  <si>
    <t>Wetland management</t>
  </si>
  <si>
    <t>3.1 Threatened, Critical and Protected Species and Ecosystems</t>
  </si>
  <si>
    <t>Is a copy of the Act (or summary) displayed on each farm?</t>
  </si>
  <si>
    <t>Are you familiar with the relevant sections of the Act?</t>
  </si>
  <si>
    <t>Is there a policy available to employees detailing relevant sections of the Act and their application?</t>
  </si>
  <si>
    <t>Does the policy clearly set out a commitment to workplace health and safety and a zero tolerance for non-compliance?</t>
  </si>
  <si>
    <r>
      <t xml:space="preserve">Are </t>
    </r>
    <r>
      <rPr>
        <b/>
        <sz val="10"/>
        <color theme="1"/>
        <rFont val="Arial"/>
        <family val="2"/>
      </rPr>
      <t>all</t>
    </r>
    <r>
      <rPr>
        <sz val="10"/>
        <color theme="1"/>
        <rFont val="Arial"/>
        <family val="2"/>
      </rPr>
      <t xml:space="preserve"> workshops, storerooms, ablutions and other employee workplaces neat and tidy?</t>
    </r>
  </si>
  <si>
    <t>Are passageways in the workplace kept free of obstacles?</t>
  </si>
  <si>
    <t>If you have more than 5 employees, are First Aid boxes adequately stocked, accessible and maintained? (see notes for minimum requirements)</t>
  </si>
  <si>
    <t>Are fire extinguishers appropriately labelled (with their contents and purpose identified), accessible, and regularly serviced?</t>
  </si>
  <si>
    <t>Are electric plugs and socket outlets covered?</t>
  </si>
  <si>
    <t>Are circuit breakers and panel boards labelled?</t>
  </si>
  <si>
    <t>Are earth leakage devices present?</t>
  </si>
  <si>
    <t>Are moving parts of machines, power take off and fan belts guarded?</t>
  </si>
  <si>
    <t>Does machinery used for lifting clearly indicate the maximum permissible load?</t>
  </si>
  <si>
    <t>Are your operators of driven machinery trained and licensed where necessary?</t>
  </si>
  <si>
    <t>Is all signage clear, unambiguous and, where necessary, in two official languages?</t>
  </si>
  <si>
    <t>Are taps and pipes which contain water not fit for human consumption clearly marked?</t>
  </si>
  <si>
    <t>For every 50 employees (or part thereof), is at least one employee  trained in first aid with possession of a certificate of competency?</t>
  </si>
  <si>
    <t>Are employees who arrive at work intoxicated or who become intoxicated during working hours removed  from the workplace?</t>
  </si>
  <si>
    <t>Have employees been made aware of the need to consume sufficient amounts of water especially in extreme temperatures?</t>
  </si>
  <si>
    <t>Do you supply sufficient safe drinking water to each worker operating in the field?  (5 -10 litres of water per worker per day depending on the environmental conditions).</t>
  </si>
  <si>
    <t>Is all drinking water that is not from a municipal supply tested by a recognised potable water testing facility and deemed suitable for human consumption?</t>
  </si>
  <si>
    <t xml:space="preserve">Do you maintain records of all injuries (first aid, medical, lost time or disabling) and the frequency of lost time events for a period of 5 years? </t>
  </si>
  <si>
    <t>How many lost time accident events occurred over the past year?</t>
  </si>
  <si>
    <t>Do you conduct (or review) a health and safety risk assessment annually?</t>
  </si>
  <si>
    <t>Do you take steps to eliminate or mitigate any hazard or potential hazard to the safety or health of employees before resorting to personal protective equipment (PPE)?</t>
  </si>
  <si>
    <t>Are all hazardous chemical substances (HCS) handled and stored in accordance with SANS 10206:2010?</t>
  </si>
  <si>
    <t>Are chemicals stored in a room that can be locked?</t>
  </si>
  <si>
    <t>Are all stored chemicals clearly identified?</t>
  </si>
  <si>
    <t>Are Safety Data Sheets (SDS) available to employees?</t>
  </si>
  <si>
    <t>Are flammable liquids stored separately from other chemicals?</t>
  </si>
  <si>
    <t>Is a daily inventory and record of products used, and returned to the store, controlled by a designated member of the farm staff?</t>
  </si>
  <si>
    <t>Are gloves and face masks always available?</t>
  </si>
  <si>
    <t>Are washing facilities available?</t>
  </si>
  <si>
    <t>Are empty chemical containers returned to the supplier, or disposed of safely in an appropriate waste disposal site?</t>
  </si>
  <si>
    <t>Where 20 or more people are employed, is there at least one Health and Safety representative appointed for every 50 employees (or part thereof) ?</t>
  </si>
  <si>
    <t>Where more than one health and safety representative is appointed, has a health and safety committee been established?</t>
  </si>
  <si>
    <t>Is all work performed and plant or machinery used under the general supervision of a person trained in the hazards associated with it?</t>
  </si>
  <si>
    <t>Are environmental awareness programmes  encouraged?</t>
  </si>
  <si>
    <t>Are employees at management and supervisor level encouraged to attend sugarcane agriculture certificate courses?</t>
  </si>
  <si>
    <t xml:space="preserve">Are training records (e.g. attendance registers, certificates or list of informal events) kept for a minimum of 5 years? </t>
  </si>
  <si>
    <t>Do you provide staff housing on your farm?</t>
  </si>
  <si>
    <t>Is all drinking water suitable for human consumption?</t>
  </si>
  <si>
    <t>Is sewerage disposed of safely?</t>
  </si>
  <si>
    <t>Are waste disposal bins provided?</t>
  </si>
  <si>
    <t>Are provisions made for recycling glass, tins, paper, organic kitchen waste and oil?</t>
  </si>
  <si>
    <t>Is a summary of the BCEA kept on the farm as per the requirements of section 30 of the Act?</t>
  </si>
  <si>
    <t>Are all employees over the age of 18?</t>
  </si>
  <si>
    <t>Are those employees between 15-18 years old doing any work that is not appropriate for their age, i.e. which will place the child's overall well-being at risk?</t>
  </si>
  <si>
    <t>Are any employees under 15 years old?</t>
  </si>
  <si>
    <t>Do you have a written contract of employment between you and your employees?</t>
  </si>
  <si>
    <t xml:space="preserve">Are you registered with the Compensation Commissioner? </t>
  </si>
  <si>
    <t>Do you have a record of all employees in terms of wages, time worked, payment for piece work, overtime and any other prescribed particulars?</t>
  </si>
  <si>
    <t>Do you and your employees report accidents and occupational diseases timeously?</t>
  </si>
  <si>
    <t>Are claims for compensation lodged in the prescribed manner?</t>
  </si>
  <si>
    <t>If you are a designated employer, have you implemented affirmative action measures for people from designated groups in terms of the Act?</t>
  </si>
  <si>
    <t>Have there been any valid claims of unfair discrimination (i.e. with compensation or reinstatement orders being issued)?</t>
  </si>
  <si>
    <t>Do you respect the rights of employees to form and join trade unions and establish workplace forums for collective bargaining?</t>
  </si>
  <si>
    <t>Do you have a copy of Schedule 8 of the Act, ‘Code of Good Practice: Dismissal’  on the farm?</t>
  </si>
  <si>
    <r>
      <t xml:space="preserve">Restitution of Land Rights Act, 22 of 1994, as amended.
</t>
    </r>
    <r>
      <rPr>
        <sz val="10"/>
        <rFont val="Arial"/>
        <family val="2"/>
      </rPr>
      <t>Do you respect the rights of communities with legitimate and demonstrable rights to the land to lodge claims through the Land Claims Court as entitled in terms of the Act?</t>
    </r>
  </si>
  <si>
    <r>
      <t xml:space="preserve">Land Reform (Labour Tenants) Act 3 of 1996.
</t>
    </r>
    <r>
      <rPr>
        <sz val="10"/>
        <color theme="1"/>
        <rFont val="Arial"/>
        <family val="2"/>
      </rPr>
      <t>Do you uphold the right of labour tenants to occupy and use that part of the farm to which they are legally entitled in terms of the Act?</t>
    </r>
  </si>
  <si>
    <r>
      <t xml:space="preserve">Extension of Security of Tenure Act 62 of 1997.
</t>
    </r>
    <r>
      <rPr>
        <sz val="10"/>
        <color theme="1"/>
        <rFont val="Arial"/>
        <family val="2"/>
      </rPr>
      <t>Do you uphold the rights of occupiers (not labour tenants) to reside on and use land to which they are legally entitled in  terms of the Act?</t>
    </r>
  </si>
  <si>
    <t>Do you give preferential opportunity to people living on the farm, or in close proximity to the farm?</t>
  </si>
  <si>
    <t>Do you proactively consult and engage with local communities and other stakeholders?</t>
  </si>
  <si>
    <t>Are you required to pay a skills development levy (annual payroll exceeds R 500 000)?</t>
  </si>
  <si>
    <t xml:space="preserve">Do you pay a skills development levy at a rate of 1% of the total remuneration (including overtime payments, leave pay, bonuses, commissions and lump sum payments) payable to employees? </t>
  </si>
  <si>
    <t>Do you provide opportunities for staff development? These may include sending  staff on relevant formal training courses, such as SASRI Junior or Senior Certificate Courses or Shukela Training Centre Courses.</t>
  </si>
  <si>
    <t xml:space="preserve"> Do you conduct in-house training events?</t>
  </si>
  <si>
    <t>Do you allow public access to your farm for recreational purposes?</t>
  </si>
  <si>
    <t>Are you familiar with the obligations associated with allowing public access to your property?</t>
  </si>
  <si>
    <t>Do the toilet facilities comply with the by-laws of the local municipality?</t>
  </si>
  <si>
    <t>Where re-establishment of indigenous wildlife (mammals, fish)  occurs, is this being done in accordance with the legislation?</t>
  </si>
  <si>
    <t>Are suitable 'exclusion of liability' signs clearly visible?</t>
  </si>
  <si>
    <t>Do you control public access for reasons of security and fire protection?</t>
  </si>
  <si>
    <t>Are trails for public use designed and maintained to minimise soil loss?</t>
  </si>
  <si>
    <t>Is maintenance, repair and management of historically important sites, buildings, graves, archaeological and paleontological sites and artefacts, rock art, cultural sites practised in terms of the law?</t>
  </si>
  <si>
    <t>Are these sites incorporated into the Land Use Plan?</t>
  </si>
  <si>
    <t>Have you cut, damaged or destroyed any forest, or indigenous trees in that forest, or any trees deemed protected in terms of the National Forest Act 84 of 1998 and identified in the Government Gazette? If you have done so under a licence, answer 'No'.</t>
  </si>
  <si>
    <t>Do you comply with the requirements of the National Environmental Management: Biodiversity Act 10 of 2004 in terms of any identified restricted activity (section 57), a threatening process or a listed threatened species (section 53)?</t>
  </si>
  <si>
    <t>Do you comply with the requirements of protected and specially protected species as prescribed in terms of provincial legislation (e.g. Mpumalanga Nature Conservation Act 10 of 1998 or KZN Nature Conservation Act 29 of 1992)?</t>
  </si>
  <si>
    <t>Is fire sensitive natural vegetation protected through an effective fire protection programme?</t>
  </si>
  <si>
    <t>Have you performed any voluntary protection of land based on its inherent environmental characteristics e.g. establishment of conservation agreements or formation of conservancies?</t>
  </si>
  <si>
    <t>Are natural areas identified and mapped?</t>
  </si>
  <si>
    <t>Do you manage these areas with fire?</t>
  </si>
  <si>
    <t>Has any natural vegetation been classified?</t>
  </si>
  <si>
    <t>Is the natural vegetation on the farm, or adjoining farms/neighbours connected in the form of corridors?</t>
  </si>
  <si>
    <t>Have you considered the costs and benefit of removing sugarcane from wetlands and areas adjacent to watercourses?</t>
  </si>
  <si>
    <t>Are nesting sites of protected bird species identified?</t>
  </si>
  <si>
    <t>Do you remove and destroy snares?</t>
  </si>
  <si>
    <t>Are you a member of a Conservancy Association?</t>
  </si>
  <si>
    <t>Are indigenous plant seeds (excluding protected species) collected and potted as part of a plant rescue programme or for the purposes of re-establishment elsewhere?</t>
  </si>
  <si>
    <t>Where hunting takes place, is this in accordance with the National Environmental Management: Biodiversity Act, 10 of 2004 and the provincial conservation legislation?</t>
  </si>
  <si>
    <t>Are you actively controlling all Declared Weeds (Category 1 plants) that occur on land or on inland water?</t>
  </si>
  <si>
    <t>Are there any unauthorised plantings of Category 2 plants within 30 m of the 1:50 year flood line of a water resource?</t>
  </si>
  <si>
    <t>Have you planted or propagated any Category 3 plants since 30 March 2001?</t>
  </si>
  <si>
    <t>Do you have a control plan for the management of invasive plant species on your farm?</t>
  </si>
  <si>
    <t>Are you a member of a local Fire Protection Association?</t>
  </si>
  <si>
    <t>Do you prepare and maintain firebreaks on your side of the boundary between your land and the adjoining land?</t>
  </si>
  <si>
    <t>Do you have the necessary equipment and personnel to fight fires?</t>
  </si>
  <si>
    <t>Are you aware of the annual restrictions on the burning of firebreaks and crop residue (trash)?</t>
  </si>
  <si>
    <t>What percentage of the harvested area was green-cane harvested (i.e. not burnt)?</t>
  </si>
  <si>
    <t>Do you comply with the restrictions on burning over weekends and other periods when burning is prohibited?</t>
  </si>
  <si>
    <t>Do you advise provincial traffic authorities when burning along public roads?</t>
  </si>
  <si>
    <t>Do you adhere to safe practices when burning along public roads?</t>
  </si>
  <si>
    <t>Have you identified areas sensitive to burning  e.g. public roads, residential areas, beaches, power lines, etc.?</t>
  </si>
  <si>
    <t>Do you leave a barrier of unburnt cane adjacent to sensitive areas?</t>
  </si>
  <si>
    <t>Do you consider weather forecasts and local knowledge as to the advisability and time of burning?</t>
  </si>
  <si>
    <t>Have you planned the harvest programme so that there are always fields that may be green cane harvested (trashed) or safely burned if burning is inadvisable?</t>
  </si>
  <si>
    <t>Do you advise authorities in the event of an unintended burn?</t>
  </si>
  <si>
    <t>Do you record fields burnt, date and time of burn?</t>
  </si>
  <si>
    <t>Do you ever burn cane in stacks in the fields or on the zones?</t>
  </si>
  <si>
    <t>Do you flatten cane under power lines before burning?</t>
  </si>
  <si>
    <t>Do you regularly analyse your organic fertiliser?</t>
  </si>
  <si>
    <t>Are organic fertiliser stock piles placed at least 30 m away from natural water sources or stormwater run-off systems?</t>
  </si>
  <si>
    <t>Are organic fertiliser stock piles protected against the breeding of insects and pests and from wind-blown dispersal?</t>
  </si>
  <si>
    <t>Are residential/public areas avoided when siting organic stock piles?</t>
  </si>
  <si>
    <t>Are wash-bay facilities provided for cleaning tractors and equipment?</t>
  </si>
  <si>
    <t>Is all run-off from the wash-bay directed into a protected sump?</t>
  </si>
  <si>
    <t>Is collected contaminated water lawfully disposed of to minimise contamination of ground-water?</t>
  </si>
  <si>
    <t>Is all oil and diesel from vehicles serviced in fields and workshops collected and lawfully disposed of?</t>
  </si>
  <si>
    <t>Does servicing of vehicles occur in the proximity of waterways?</t>
  </si>
  <si>
    <t>Do your small waste disposal sites that are exempted from the need to be registered comply with conditions of the exemption?</t>
  </si>
  <si>
    <t>Are steps taken to avoid visible littering?</t>
  </si>
  <si>
    <t>Are empty containers previously holding hazardous substances returned to the supplier where the label requires that they be returned?</t>
  </si>
  <si>
    <r>
      <t>Where these containers are not required to be returned to the supplier, are they disposed of at an authorise</t>
    </r>
    <r>
      <rPr>
        <sz val="10"/>
        <rFont val="Arial"/>
        <family val="2"/>
      </rPr>
      <t>d landfill</t>
    </r>
    <r>
      <rPr>
        <sz val="10"/>
        <color theme="1"/>
        <rFont val="Arial"/>
        <family val="2"/>
      </rPr>
      <t xml:space="preserve"> site?</t>
    </r>
  </si>
  <si>
    <t>Do you have a mining permit for your new or existing quarry or borrow pit?</t>
  </si>
  <si>
    <t>Are quarries marked on the Land Use Plan?</t>
  </si>
  <si>
    <t>Do quarries have minimum visual impact and are sited away from public or recreation routes?</t>
  </si>
  <si>
    <t>Is top soil from new quariries set aside for eventual closure?</t>
  </si>
  <si>
    <t>Are disused quarries rehabilitated or converted to water bodies (dams)?</t>
  </si>
  <si>
    <t>Has utilisation of vegetation in a wetland or within the flood area of a water course, or within 10 meters horizontally outside the flood area, damaged the area?</t>
  </si>
  <si>
    <t>Has there been any cultivation or drainage of a vlei, marsh or water sponge, or any land within the flood area or within 10 m horizontally outside the flood area or watercourse?</t>
  </si>
  <si>
    <t>If any run-off water from a water course has been diverted to another water course, has authorisation first been obtained?</t>
  </si>
  <si>
    <t>Are there any category 2 or 3 plants within 30 m of the 1:50 year flood line of wetlands?</t>
  </si>
  <si>
    <t>Have natural wetlands been identified and mapped?</t>
  </si>
  <si>
    <t>Is controlled burning/grazing practised in wetland areas?</t>
  </si>
  <si>
    <t>Have natural watercourses been identified and mapped?</t>
  </si>
  <si>
    <t>Are alien invaders and exotic plants removed regularly from watercourses?</t>
  </si>
  <si>
    <t>Have any forested riparian areas been burnt?</t>
  </si>
  <si>
    <t>Are disturbed watercourses rehabilitated?</t>
  </si>
  <si>
    <t>Do you have any wet agricultural land?</t>
  </si>
  <si>
    <t>Have any mechanical practices been used to clean drains? If this is done with authorisation, answer 'No.'</t>
  </si>
  <si>
    <t>Have any existing drains been widened or deepened?</t>
  </si>
  <si>
    <t>Is there any evidence of active erosion?</t>
  </si>
  <si>
    <t>Are approved plans available for any alterations to existing drains?</t>
  </si>
  <si>
    <t>Have relic wetlands been (or are being) rehabilitated?</t>
  </si>
  <si>
    <t>What proportion of the irrigation system meets the daily peak crop water requirements (ET) or some agreed proportion of the daily peak crop water requirement?</t>
  </si>
  <si>
    <t>Is the water source taken into account in planning and design of the irrigation system?</t>
  </si>
  <si>
    <t>For new irrigation systems, have your preferences been taken into account in planning and design of the system?</t>
  </si>
  <si>
    <t>Has the irrigation system been designed in accordance with SABI norms?</t>
  </si>
  <si>
    <t>Do you have the design documentation for the irrigation system?</t>
  </si>
  <si>
    <t>Are irrigation systems operated according to design specifications by regularly checking pressure and discharge (flow)?</t>
  </si>
  <si>
    <t>Is irrigation scheduling  practised using an appropriate method to prevent over and under irrigation?</t>
  </si>
  <si>
    <t>Is preventative maintenance of systems performed in accordance with a pre-determined schedule, to remain within manufacturers' design specifications?</t>
  </si>
  <si>
    <t>Is the electric motor coupled to the irrigation pump of the proper size (i.e. not excessively over-sized)?</t>
  </si>
  <si>
    <t>Has the most appropriate ESKOM electricity tariff option been selected?</t>
  </si>
  <si>
    <t>Is pump operation, informed by irrigation scheduling, limited during the electricity peak hours when possible?</t>
  </si>
  <si>
    <t>Is the irrigation system evaluated at least every two years to ensure uniform and accurate application of water?</t>
  </si>
  <si>
    <t xml:space="preserve">Is irrigation water volume measured at the point of abstraction to ensure compliance with authorised allocation and abstraction rates? </t>
  </si>
  <si>
    <t>Do you keep a record of water used per annum?</t>
  </si>
  <si>
    <t>Is the quality of irrigation water monitored twice a year (during winter and summer) for irrigation suitability?</t>
  </si>
  <si>
    <t>Are soil samples taken annually for irrigated lands and assessed for total soluble salts and sodium absorption ratio, and are practices adapted when required?</t>
  </si>
  <si>
    <t>Do you irrigate with wastewater?</t>
  </si>
  <si>
    <t>Is your irrigation with wastewater authorised?</t>
  </si>
  <si>
    <t>Are you meeting the conditions of that authorisation?</t>
  </si>
  <si>
    <t>Do you conduct precautionary monitoring of wastewater according to the National Water Act?</t>
  </si>
  <si>
    <t>Feeder channels, irrigation furrows and storage and catchment dams for irrigation water are made impermeable.</t>
  </si>
  <si>
    <t>Irrigation water has low salt content</t>
  </si>
  <si>
    <t>Soil conservation works have been constructed to draw off excess surface and subsurface water so as to dispose of it, to prevent the waterlogging and salination of lower lying land.</t>
  </si>
  <si>
    <t>Soil ameliorants have been applied to land showing signs of salination.</t>
  </si>
  <si>
    <t>If any new drainage systems have been established, has this been done under the necessary water use licence and, where necessary, environmental authorisation?</t>
  </si>
  <si>
    <t>Are existing drainage systems managed to maintain flow?</t>
  </si>
  <si>
    <t>Are existing drains stabilised with grass?</t>
  </si>
  <si>
    <t>Are drain outlets protected to prevent erosion?</t>
  </si>
  <si>
    <t>Does an annual maintenance programme exist?</t>
  </si>
  <si>
    <t>Fertilisers that could contribute to salination have been avoided.</t>
  </si>
  <si>
    <t>If you have virgin land available, has any been cultivated without written authority?</t>
  </si>
  <si>
    <t>Has any land with a slope of more than 20% been cultivated without written authority?</t>
  </si>
  <si>
    <t>Has any land with a slope of more than 12%, and situated in certain magisterial areas (namely Eshowe) been cultivated without written authority?</t>
  </si>
  <si>
    <t>• Are there visible signs of erosion?</t>
  </si>
  <si>
    <t>Are soil types (forms) mapped and classified in terms of their erodibility?</t>
  </si>
  <si>
    <t>Are panel widths within specifications for slopes?</t>
  </si>
  <si>
    <t>Are waterways sited at the lowest point of selected natural depressions?</t>
  </si>
  <si>
    <t>In the absence of natural depressions, are artificial waterways constructed at right angles to the natural contour and/or adjacent to the crest road?</t>
  </si>
  <si>
    <t xml:space="preserve">Do the waterway dimensions conform to Land Use Plan specifications? </t>
  </si>
  <si>
    <t>Are the discharge ends of waterways protected to prevent any undercutting?</t>
  </si>
  <si>
    <t>Have earth waterways been planted with a creeping grass suitable to the area?</t>
  </si>
  <si>
    <t>Is there additional protection where extraction routes cross waterways?</t>
  </si>
  <si>
    <t>Have you avoided hoeing on the verges of all waterways?</t>
  </si>
  <si>
    <t>Are waterways used as roads or paths?</t>
  </si>
  <si>
    <t>Do the waterways allow for free flow of surface water?</t>
  </si>
  <si>
    <t>Are all roads included in the land-use plan?</t>
  </si>
  <si>
    <t>Does the land use plan specify road drainage for each road?</t>
  </si>
  <si>
    <t>Do farm roads follow the crestlines and/or conservation terraces except under specified circumstances?</t>
  </si>
  <si>
    <t>Are crest roads on crests of 12% gradient or less?</t>
  </si>
  <si>
    <t>Are diagonal roads on slopes greater than 12%?</t>
  </si>
  <si>
    <t>Is soil erosion minimised  on unusually steep (&gt;12%) areas where roads are constructed?</t>
  </si>
  <si>
    <t xml:space="preserve">Are routes selected to minimise impacts on sensitive areas? </t>
  </si>
  <si>
    <t>Are primary roads (5 m wide) constructed more than 20 m away from a stream, river or wetland, except where they cross?</t>
  </si>
  <si>
    <t>Are secondary roads (at least 4 m wide) used for field access and cane haulage?</t>
  </si>
  <si>
    <t>Are tertiary roads (at least 3.5 m wide) used for infield access?</t>
  </si>
  <si>
    <t xml:space="preserve">Do roads cross watercourses at right-angles? </t>
  </si>
  <si>
    <t>Does water drained off primary roads flow through a minimum of 10 m of natural vegetation or canefield before entering the watercourse?</t>
  </si>
  <si>
    <t>Are discharge points provided to protect the upper road channel?</t>
  </si>
  <si>
    <t>Are roadside drains grassed or paved?</t>
  </si>
  <si>
    <t xml:space="preserve"> Has authority been sought for new roads or upgrades in sensitive areas or exeeding prescribed thresholds?</t>
  </si>
  <si>
    <t>Are drifts confined to sites where there is solid rock, or constructed of suitable material?</t>
  </si>
  <si>
    <t>Is crest road camber maintained where necessary?</t>
  </si>
  <si>
    <t>Are mitre drains constructed where necessary?</t>
  </si>
  <si>
    <t>Is water from district roads diverted into stable waterways?</t>
  </si>
  <si>
    <t>Are road drains and verges kept clear of invading vegetation to allow free flow of surface water?</t>
  </si>
  <si>
    <t>Are boundary breaks that are used as roads protected from erosion?</t>
  </si>
  <si>
    <t>Are grasses on secondary and tertiary roads maintained by slashing or chemical control?</t>
  </si>
  <si>
    <t>Are primary road surfaces protected by quarry, stone or cement?</t>
  </si>
  <si>
    <t>Can culverts accommodate a 1:10 year flood?</t>
  </si>
  <si>
    <t>Do culverts have a minimum diameter of 600 mm?</t>
  </si>
  <si>
    <t>Are culverts and their discharge points protected?</t>
  </si>
  <si>
    <t>Can farm bridges on primary roads accommodate a 1:20 year flood?</t>
  </si>
  <si>
    <t>Can farm bridges on  secondary roads accommodate a 1:10 year flood?</t>
  </si>
  <si>
    <t>Is minimum tillage  practised in recommended situations?
- Slopes greater than 11% on erodible soils, 
- Slopes greater than 13% on moderately erodible soils and 
- Slopes greater than 16% on resistant soils.</t>
  </si>
  <si>
    <t>On slopes less than those above, and where conventional tillage is practised, is this carried out along the contour?</t>
  </si>
  <si>
    <t>Where row alignment runs with the slopes, are slopes less than 2%?</t>
  </si>
  <si>
    <t>Where row alignment runs with the slopes and on parallel crest areas,  are slopes less than 2% on erodible soils, less than 3% on moderately erodible soils or less than  4% on resistant soils?</t>
  </si>
  <si>
    <t>Is strip planting practised on all slopes exceeding 2%, except on certain specified irrigation layouts?</t>
  </si>
  <si>
    <t>Is alternate strip planting practised on slopes above 12%?</t>
  </si>
  <si>
    <t>Are wet, poorly drained soils harvested during the dry season?</t>
  </si>
  <si>
    <t>Are grab loaders and infield vehicles operated with low tyre pressures and preferably radial ply tyres?</t>
  </si>
  <si>
    <t>Is the total mass distributed over all axles, with infield loads not exceeding 5 tons per axle?</t>
  </si>
  <si>
    <t>Where tandem axles are used, do you make use of walking beam axles?</t>
  </si>
  <si>
    <t>Are your vehicles driving on the interrows only?</t>
  </si>
  <si>
    <t>On what percentage of harvested area is green cane harvesting practised?</t>
  </si>
  <si>
    <t>Are all harvested fields left with at least 30% ground cover (consisting of tops or leaves)?</t>
  </si>
  <si>
    <t>Are cool burns carried out in the morning on slopes of more than 15%?</t>
  </si>
  <si>
    <t>Is all newly planted sugarcane planted more than 10 m from the edge of a wetland or watercourse or as authorised?</t>
  </si>
  <si>
    <t>Where there is a natural forest present, is all sugarcane more than 10 m from this forest?</t>
  </si>
  <si>
    <t>Do you comply with the Road Traffic Act 93 of 1996 in terms of the manner in which sugarcane can be transported (section 246 of the National Road Traffic Regulations 1999 as amended in Government Gazette Notice No. R846)?</t>
  </si>
  <si>
    <t>Do you comply with the axle mass of the load vehicle (section 234 – 239 of the National Road Traffic Regulations 1999 as amended in Government Gazette Notice No. R846)?</t>
  </si>
  <si>
    <t>Do you make use of the services of a contractor for loading?</t>
  </si>
  <si>
    <t>Is the loading equipment appropriate for the task?</t>
  </si>
  <si>
    <t>Is the loading equipment inspected  daily to ensure safe and efficient operation?</t>
  </si>
  <si>
    <t>Is the equipment maintained according to a regular maintenance schedule?</t>
  </si>
  <si>
    <t>Are loading staff trained to use the loading equipment properly?</t>
  </si>
  <si>
    <t>Is a schedule of training needs compiled and matched to a training plan?</t>
  </si>
  <si>
    <t>Is a record of all training conducted maintained?</t>
  </si>
  <si>
    <t>Are competency assessments conducted for all staff and operations?</t>
  </si>
  <si>
    <t>Is the loading operation timetable and practices arranged in a reasonable fashion so that driver fatigue is minimised?</t>
  </si>
  <si>
    <t>Is there regular and open communication between management, equipment operators and loading staff on matters that affect the safe operation of the business?</t>
  </si>
  <si>
    <t>Is the legal load capacity of the haulage vehicle known and documented?</t>
  </si>
  <si>
    <t>Does a method exist for determining the mass of the load on the vehicle?</t>
  </si>
  <si>
    <t>Is there a back-up method should the usual method fail?</t>
  </si>
  <si>
    <t>Is the measuring method calibrated regularly?</t>
  </si>
  <si>
    <t>Are vehicle loads properly secured?</t>
  </si>
  <si>
    <t>Is the sugarcane tightly stacked?</t>
  </si>
  <si>
    <t>Are stacks of uniform size?</t>
  </si>
  <si>
    <t>Is all loose cane removed prior to transport?</t>
  </si>
  <si>
    <t>Are you complying with your allocation and any agreed schedules?</t>
  </si>
  <si>
    <t>Are drivers’ schedules arranged such that driving hours are not only within the legal limits but are scheduled to minimise driver fatigue?</t>
  </si>
  <si>
    <t>Are depot facilities and workplace conditions conducive to driver health and well-being?</t>
  </si>
  <si>
    <t>Do drivers undergo regular medical examinations to ensure that they are fit and competent to perform their duties?</t>
  </si>
  <si>
    <t>Is there regular and open communication between management and drivers on matters that affect the safe operation of the business?</t>
  </si>
  <si>
    <t>Are drivers of haulage vehicles properly trained?</t>
  </si>
  <si>
    <t>Are competency assessments conducted for all drivers?</t>
  </si>
  <si>
    <t>Have you acquired or used any agricultural remedies that contain any of the following ingredients:
- 2,4-D (dimethylamine salt)
- 2,4-DB (sodium salt)
- dicamba (dimethylamine salt)
- any other salts or esters of 2,4-D (except APM salt) on farms in certain Magisterial Districts.
- Monocrotophos
- Chlordane
- Lindane (gamma – BHC)?</t>
  </si>
  <si>
    <t>If in KwaZulu-Natal, have you aerially applied any of the agricultural remedies listed above, or any agricultural remedy containing 2,4-D (iso-actylesther), NCPA (potassium salt), MCPB (sodium salt), any salt or esters of triclopyr or salts of dicamba?</t>
  </si>
  <si>
    <t>Have you acquired, sold, disposed of or used any agricultural remedy containing the pesticide chlorobensilate?</t>
  </si>
  <si>
    <t>Have you acquired, sold, disposed of or used  “Super phosphate + Cu”?</t>
  </si>
  <si>
    <t>Are agrochemicals stored in secure buildings which comply with the relevant standards?</t>
  </si>
  <si>
    <t>Are Toxic Group I poisons secured in a separate, locked storage area?</t>
  </si>
  <si>
    <t>Are agrochemicals stored away from food and animal feed?</t>
  </si>
  <si>
    <t>Are all safety requirements available (e.g. water and washing facilities, fire-fighting equipment, other requirements specified on label)?</t>
  </si>
  <si>
    <t>Are Safety Data Sheets (SDS) available at point of use?</t>
  </si>
  <si>
    <t>Is the storage area easily drained with a sealed sump to collect spillage?</t>
  </si>
  <si>
    <t>Is mixing of agrochemicals carried out in a well ventilated area with the necessary protective clothing being worn?</t>
  </si>
  <si>
    <t>Is washing of equipment done in a manner which avoids soil and water pollution?</t>
  </si>
  <si>
    <t>Are soil samples taken at regular intervals to ensure correct type and quantity of fertiliser?</t>
  </si>
  <si>
    <t>Is fertiliser application managed in terms of soil  requirements, as determined by SASRI FAS or equivalent laboratory?</t>
  </si>
  <si>
    <t>Are agrochemicals applied at the correct rate, to the specific target, at the correct growth stage and under suitable weather conditions?</t>
  </si>
  <si>
    <t>Do you record and calculate the combined mass of agrochemicals applied for all sugarcane operations?</t>
  </si>
  <si>
    <t>Is the combined mass of agrochemicals applied, less than 5kg active ingredient per hectare of area under cane?</t>
  </si>
  <si>
    <t>Is all application equipment serviced and calibrated regularly?</t>
  </si>
  <si>
    <t>Are all operators using agrochemicals trained and provided with the necessary safety equipment?</t>
  </si>
  <si>
    <t>Are all agrochemicals applied according to the manufacturer’s specifications?</t>
  </si>
  <si>
    <t>Are empty containers returned to the supplier where the label requires that they be returned?</t>
  </si>
  <si>
    <t xml:space="preserve">Are empty containers that are not required to be returned to the supplier rendered unusable? </t>
  </si>
  <si>
    <t>Have you notified the local department of agriculture of the presence of any flying locusts or  breeding swarms of red-billed queleas?</t>
  </si>
  <si>
    <t>Have you complied with any control measures as instructed by the Minister of Agriculture?</t>
  </si>
  <si>
    <t>If you are within a proclaimed area, have you complied with any remedial operations required by the SA Sugar Association?</t>
  </si>
  <si>
    <t>Have you notified your Local PD&amp;V Control Committee regarding the outbreak of any major pests and diseases on your farm or in the area?</t>
  </si>
  <si>
    <t>Do you use either certified or approved seedcane for all crop re-establishment?</t>
  </si>
  <si>
    <t>Are fields due for re-plant checked for RSD prior to eradication of the penultimate crop?</t>
  </si>
  <si>
    <t>Is 100% crop eradication achieved before planting?</t>
  </si>
  <si>
    <t>Are RSD positive fields fallowed for a minimum of 3 months from the death of the last volunteer?</t>
  </si>
  <si>
    <t>Do you choose pest and disease resistant varieties suitable to your specific growing conditions?</t>
  </si>
  <si>
    <t>Do you undertake any scouting with your own staff for pests and diseases on your farm?</t>
  </si>
  <si>
    <t>Do you undertake regular training on pests and diseases with your scouting staff?</t>
  </si>
  <si>
    <t>Are you recording and monitoring trends on the incidence of pests and diseases on a field basis for your farm?</t>
  </si>
  <si>
    <t>Net primary energy used per ton of cane per annum.(MJ/t). 
Your net prinmary energy used per ton of cane per annum of                    MJ/t is compared against the global standard of  300 MJ/t.</t>
  </si>
  <si>
    <t>Efficiency of energy used for cane transport (MJ/t)
Your energy used for cane transport of                   MJ/t is compared against the global standard of  50 MJ/t.</t>
  </si>
  <si>
    <t>Do you have slopes over 2% ?</t>
  </si>
  <si>
    <t xml:space="preserve">          N:P:K Calculator</t>
  </si>
  <si>
    <t>Are Personal Protective Equipment (PPE) such as earplugs, safety boots, goggles and hard hats issued to employees?</t>
  </si>
  <si>
    <t>Is green cane harvesting practised on slopes greater than 15% and in areas where the cane residue blanket does not increase the risk of stools rotting or inhibition of ratooning?</t>
  </si>
  <si>
    <t>If any flammable material from containers has been burnt, has this been done at a licensed facility?</t>
  </si>
  <si>
    <t>Do you participate in community upliftment initiatives? (Example: mowing local school soccer field, providing school facilities on farm).</t>
  </si>
  <si>
    <t>Do equipment operators undergo regular medical check-ups?</t>
  </si>
  <si>
    <t>Never (0%)</t>
  </si>
  <si>
    <t>Seldom (1-25%)</t>
  </si>
  <si>
    <t>None (0%)</t>
  </si>
  <si>
    <t>Some (1-33%)</t>
  </si>
  <si>
    <t>Almost All (67-99%)</t>
  </si>
  <si>
    <t>Almost Always (67-99%)</t>
  </si>
  <si>
    <t>Mostly (51-75%)</t>
  </si>
  <si>
    <t>Almost always (76 - 99%)</t>
  </si>
  <si>
    <t>Safe environment for persons other than employees (Section 9(2))</t>
  </si>
  <si>
    <t>Do you ensure that all persons who may be directly affected by your activities are not exposed to hazards to their health and safety?</t>
  </si>
  <si>
    <r>
      <t xml:space="preserve">DO YOU HAVE </t>
    </r>
    <r>
      <rPr>
        <sz val="10"/>
        <color rgb="FF009242"/>
        <rFont val="Arial"/>
        <family val="2"/>
      </rPr>
      <t>A HISTORICAL</t>
    </r>
    <r>
      <rPr>
        <sz val="10"/>
        <color rgb="FF00863D"/>
        <rFont val="Arial"/>
        <family val="2"/>
      </rPr>
      <t xml:space="preserve"> </t>
    </r>
    <r>
      <rPr>
        <sz val="10"/>
        <color rgb="FF009242"/>
        <rFont val="Arial"/>
        <family val="2"/>
      </rPr>
      <t xml:space="preserve">OR </t>
    </r>
    <r>
      <rPr>
        <sz val="10"/>
        <color rgb="FF00863D"/>
        <rFont val="Arial"/>
        <family val="2"/>
      </rPr>
      <t>CULTURAL HERITAGE SITE ON YOUR FARM?</t>
    </r>
  </si>
  <si>
    <t>Are your Annual Financial Statements audited and submitted, if required?</t>
  </si>
  <si>
    <t>Are you using biological weed control measures on your farm?</t>
  </si>
  <si>
    <t>For new waterways, have revetts been spaced at 10 m intervals across the main axis of the waterway to prevent erosion until such time as the vegetative cover is adequate?</t>
  </si>
  <si>
    <t>When using side-loading trailers, are cable drains parallel and deep enough to guide cables and are they closed after use?</t>
  </si>
  <si>
    <t>Are you implementing an integrated approach towards the control of any threatening pests on your farm? (i.e. planting sedges or melinis, releasing predators, encouraging bats, variety choice etc)</t>
  </si>
  <si>
    <r>
      <rPr>
        <b/>
        <sz val="10"/>
        <color rgb="FFC00000"/>
        <rFont val="Arial"/>
        <family val="2"/>
      </rPr>
      <t>2.3 LAND TENURE</t>
    </r>
    <r>
      <rPr>
        <b/>
        <sz val="10"/>
        <color theme="1"/>
        <rFont val="Arial"/>
        <family val="2"/>
      </rPr>
      <t xml:space="preserve">
STATEMENT OF INTENT : The right to use land is upheld. </t>
    </r>
  </si>
  <si>
    <t>• Conservation terraces (indicating vertical intervals and height of terrace banks)</t>
  </si>
  <si>
    <t>Do you possess a land-use plan (or other maps) containing details and specifications with regard to the following?</t>
  </si>
  <si>
    <t>• Roads and cane extraction system (indicating the location and type of road i.e. diagonal, crest, access or district road)</t>
  </si>
  <si>
    <t>• Natural Wetlands and watercourses (indicating their location)</t>
  </si>
  <si>
    <t>• Dams (indicating their location)</t>
  </si>
  <si>
    <t>• Quarries (indicating their location)</t>
  </si>
  <si>
    <t>• Rubbish dumps (indicating their location)</t>
  </si>
  <si>
    <t>• Staff/labour housing and workshop (indicating their location)</t>
  </si>
  <si>
    <t>• Waterways (indicating their location and waterway category)</t>
  </si>
  <si>
    <r>
      <rPr>
        <b/>
        <sz val="10"/>
        <rFont val="Arial"/>
        <family val="2"/>
      </rPr>
      <t xml:space="preserve">The right to use land is demonstrated </t>
    </r>
    <r>
      <rPr>
        <sz val="10"/>
        <rFont val="Arial"/>
        <family val="2"/>
      </rPr>
      <t xml:space="preserve">
Can you demonstrate your right to use your land for sugarcane farming?</t>
    </r>
  </si>
  <si>
    <t>Is strip planting practised only on areas that are equal to or less than three panels (three times the recommended vertical interval for that particular soil and slope) with sugarcane of at least six months difference in age on the upper and lower bordering strips?</t>
  </si>
  <si>
    <t xml:space="preserve"> Does a written agreement exist between yourself (as a consignor) and loading operator in terms of loading instructions and responsibilities of parties?</t>
  </si>
  <si>
    <t>Loading Best Practices</t>
  </si>
  <si>
    <t>Does a written agreement exist between yourself (as a consignor) and haulage operator in terms of responsibilities of parties?</t>
  </si>
  <si>
    <t>Load mass best practices</t>
  </si>
  <si>
    <t>LIST OF AGROCHEMICALS 2019</t>
  </si>
  <si>
    <t xml:space="preserve">2,4-D 480 </t>
  </si>
  <si>
    <t xml:space="preserve">2,4-D Amine </t>
  </si>
  <si>
    <t>2,4-D Amine 480 SL</t>
  </si>
  <si>
    <t>Aceto 900</t>
  </si>
  <si>
    <t xml:space="preserve">Adama 2,4 D-Amine </t>
  </si>
  <si>
    <t>Alanex 384 EC</t>
  </si>
  <si>
    <t>Ametryn 750 WDG</t>
  </si>
  <si>
    <t xml:space="preserve">Ampligo </t>
  </si>
  <si>
    <t>Apache 350 SC</t>
  </si>
  <si>
    <t>Atranex 90 WG</t>
  </si>
  <si>
    <t>Bandit 350 SC</t>
  </si>
  <si>
    <t>Baseline 960</t>
  </si>
  <si>
    <t>Bastion SC</t>
  </si>
  <si>
    <t>Bound 200 SL</t>
  </si>
  <si>
    <t>Brass 200 SL</t>
  </si>
  <si>
    <t>Buzzin 480 SC</t>
  </si>
  <si>
    <t>Calculus 125 SE</t>
  </si>
  <si>
    <t>Callisto</t>
  </si>
  <si>
    <t>Cantron 480 SC</t>
  </si>
  <si>
    <t>Castle Paraquat 200</t>
  </si>
  <si>
    <t>Cropguard</t>
  </si>
  <si>
    <t>Cropguard 80</t>
  </si>
  <si>
    <t>Delphi 480 SL</t>
  </si>
  <si>
    <t xml:space="preserve">Di-Plus </t>
  </si>
  <si>
    <t>Dynamo 800 SC</t>
  </si>
  <si>
    <t>Erase 360 SL</t>
  </si>
  <si>
    <t>Evito T</t>
  </si>
  <si>
    <t>FarmAg Glyphosate 360</t>
  </si>
  <si>
    <t>FarmAg 2,4-D Amine 480</t>
  </si>
  <si>
    <t>FarmAg Diuron 800 SC</t>
  </si>
  <si>
    <t>Fluent 125 EC</t>
  </si>
  <si>
    <t>Fluent 150 EC</t>
  </si>
  <si>
    <t>FluZade</t>
  </si>
  <si>
    <t>Gallant Super</t>
  </si>
  <si>
    <t>Hexuron 2400</t>
  </si>
  <si>
    <t>Kestrel 960 EC</t>
  </si>
  <si>
    <t>Kohinor 350 SC</t>
  </si>
  <si>
    <t>Maintain 200 SP</t>
  </si>
  <si>
    <t xml:space="preserve">MCPA </t>
  </si>
  <si>
    <t>MCPA 700 WSG</t>
  </si>
  <si>
    <t>Do you transport more than 500 t cane in any one month?</t>
  </si>
  <si>
    <t>Kalach 700 WSG</t>
  </si>
  <si>
    <t>Metolachlor 960</t>
  </si>
  <si>
    <t>Metolachlor 960 EC</t>
  </si>
  <si>
    <t>Metribuzin 75 WG</t>
  </si>
  <si>
    <t>Metricane 700 WDG</t>
  </si>
  <si>
    <t>Micra 750 WDG</t>
  </si>
  <si>
    <t>Milano</t>
  </si>
  <si>
    <t>Mistral 700 WG</t>
  </si>
  <si>
    <t>Opera</t>
  </si>
  <si>
    <t>Orca 125 EC</t>
  </si>
  <si>
    <t>Palmero 750 WG</t>
  </si>
  <si>
    <t>Parabat 500 EC</t>
  </si>
  <si>
    <t>Paraquat 200 SL</t>
  </si>
  <si>
    <t>Pendimethalin 500 EC</t>
  </si>
  <si>
    <t>Pentium 960 EC</t>
  </si>
  <si>
    <t>Piranha 510 SL</t>
  </si>
  <si>
    <t>Piranha Dry</t>
  </si>
  <si>
    <t>Platinum 960 EC</t>
  </si>
  <si>
    <t>Preelect 750 WDG</t>
  </si>
  <si>
    <t>Premium 840 EC</t>
  </si>
  <si>
    <t>Premium 900 EC</t>
  </si>
  <si>
    <t>Prowl CS</t>
  </si>
  <si>
    <t>Pythion 5% DP</t>
  </si>
  <si>
    <t>Qwest SC</t>
  </si>
  <si>
    <t>Ransom 240 SL</t>
  </si>
  <si>
    <t>Ripen-It</t>
  </si>
  <si>
    <t>Rondo 757 SG</t>
  </si>
  <si>
    <t>Rosate 360 SL</t>
  </si>
  <si>
    <t>Roundup</t>
  </si>
  <si>
    <t>Roundup Turbo</t>
  </si>
  <si>
    <t>Saffier 750</t>
  </si>
  <si>
    <t>Scorcher</t>
  </si>
  <si>
    <t>Sharda Acetochlor 900 EC</t>
  </si>
  <si>
    <t>Sharda Ametryn 500 SC</t>
  </si>
  <si>
    <t>Sharmin 720 SL</t>
  </si>
  <si>
    <t>Sharpen 500 EC</t>
  </si>
  <si>
    <t>Shuttle 425 SC</t>
  </si>
  <si>
    <t>Silencer 750 WDG</t>
  </si>
  <si>
    <t>Silvimax</t>
  </si>
  <si>
    <t>Silvinator</t>
  </si>
  <si>
    <t>Slash 710 SG</t>
  </si>
  <si>
    <t>Steward 150 EC</t>
  </si>
  <si>
    <t>Style 750 WDG</t>
  </si>
  <si>
    <t>Sucrazone Flo</t>
  </si>
  <si>
    <t>Sulcozine SC</t>
  </si>
  <si>
    <t>Sultan 50 SC</t>
  </si>
  <si>
    <t>Sumi-Alpha 200 EW</t>
  </si>
  <si>
    <t>Suoy</t>
  </si>
  <si>
    <t>Tanzanite 900 EC</t>
  </si>
  <si>
    <t>Tarantula 500 SC</t>
  </si>
  <si>
    <t>Teburox</t>
  </si>
  <si>
    <t>Tolla 960</t>
  </si>
  <si>
    <t>Tornado 400 SL</t>
  </si>
  <si>
    <t>Tornado 700 WSG</t>
  </si>
  <si>
    <t>Touchdown Forte Hitech</t>
  </si>
  <si>
    <t>Trooper SL</t>
  </si>
  <si>
    <t>Velpar DF</t>
  </si>
  <si>
    <t>Venone 240 SL</t>
  </si>
  <si>
    <t>Volmuron</t>
  </si>
  <si>
    <t>Wildebees</t>
  </si>
  <si>
    <t>Wildebees Ester</t>
  </si>
  <si>
    <t>Wonderland 200 SP</t>
  </si>
  <si>
    <t>Zinon 750 WG</t>
  </si>
  <si>
    <t>For what proportion of irrigation events is the volume of water applied per irrigation event (target application depth) less than 50% of the storage capacity of the soil (Total Available Water (TAW))?</t>
  </si>
  <si>
    <t xml:space="preserve">Conservation structures </t>
  </si>
  <si>
    <t>Is land over 2% slope protected by conservation structures?</t>
  </si>
  <si>
    <t>Are highly erodible soils protected by conservation structures on slopes over 1.5%?</t>
  </si>
  <si>
    <t xml:space="preserve">Are broad-based contour banks constructed on slopes of up to 12% </t>
  </si>
  <si>
    <t>Are Improved Bench Contour Banks constructed on slopes steeper than 12%?</t>
  </si>
  <si>
    <t>Do conservation structures not exceed 300 m on weak (sandy) soils, and 400 m on good (clay) soil?</t>
  </si>
  <si>
    <t>Are conservation structures kept free from silt and debris where necessary?</t>
  </si>
  <si>
    <t>Are conservation structures checked on plough-out  for line, level and grade?</t>
  </si>
  <si>
    <t>Are conservation structures stabilised through a suitable vegetative cover?</t>
  </si>
  <si>
    <t>Do conservation structures have acceptable accelerating gradients to discharge water from selected crestlines, across the slope, to selected waterways?</t>
  </si>
  <si>
    <t>Where row alignment runs with the slopes, are conservation structures in place?</t>
  </si>
  <si>
    <t>Where row alignment runs with the slopes, do rows run over conservation structures?</t>
  </si>
  <si>
    <t>Where strip planting is not practised, have standards for dimensions and location of conservation structures (i.e. contour banks) been adjusted according to the SASRI nomograph and DAEA upper slope limits?</t>
  </si>
  <si>
    <t>Do you keep any agrochemicals on the farm (for any length of time)?</t>
  </si>
  <si>
    <t>• Non-arable and natural areas</t>
  </si>
  <si>
    <r>
      <t xml:space="preserve">• Fields including number and area in </t>
    </r>
    <r>
      <rPr>
        <sz val="10"/>
        <color theme="1"/>
        <rFont val="Arial Narrow"/>
        <family val="2"/>
      </rPr>
      <t>hectares</t>
    </r>
  </si>
  <si>
    <r>
      <rPr>
        <b/>
        <sz val="10"/>
        <color rgb="FFC00000"/>
        <rFont val="Arial"/>
        <family val="2"/>
      </rPr>
      <t xml:space="preserve">1.4 FINANCIAL COMPLIANCE
</t>
    </r>
    <r>
      <rPr>
        <b/>
        <sz val="10"/>
        <color theme="1"/>
        <rFont val="Arial"/>
        <family val="2"/>
      </rPr>
      <t>STATEMENT OF INTENT : Compliance with relevant financial legislation is achieved and maintained.</t>
    </r>
  </si>
  <si>
    <t>Are employees made aware of and/or trained on the use and understanding of the SDS and its contents?</t>
  </si>
  <si>
    <t>Have there been any valid reports of unfair dismissal or unfair labour practice?</t>
  </si>
  <si>
    <t>Do you control any Category 2 plants growing outside a demarcated plantation area?</t>
  </si>
  <si>
    <t>Are there any Category 3 plants within 30 m of the 1:50 year flood line of a water resource?</t>
  </si>
  <si>
    <t>Do you notify neighbours of the intention to burn?</t>
  </si>
  <si>
    <t>Do you notify the fire protection association of the intention to burn?</t>
  </si>
  <si>
    <t>• To clear more than 1 ha of indigenous vegetation in prescribed areas or more than 20 ha of indigenous vegetation?.</t>
  </si>
  <si>
    <t>Green cane harvesting (trashing) and/or burning of sugarcane is practised in terms of economic, social and environmental conditions.</t>
  </si>
  <si>
    <t>Do you keep up to date with the latest rules and recommendations from the Local Pest, Disease and Variety Control Committee?</t>
  </si>
  <si>
    <t>Do you ensure that no single variety occupies greater than 30% of your areas under cane?</t>
  </si>
  <si>
    <r>
      <t>• To clear indigenous vegetation of more than 300m</t>
    </r>
    <r>
      <rPr>
        <vertAlign val="superscript"/>
        <sz val="10"/>
        <rFont val="Arial"/>
        <family val="2"/>
      </rPr>
      <t>2</t>
    </r>
    <r>
      <rPr>
        <sz val="10"/>
        <rFont val="Arial"/>
        <family val="2"/>
      </rPr>
      <t xml:space="preserve"> in certain sensitive geographical areas?</t>
    </r>
  </si>
  <si>
    <r>
      <rPr>
        <b/>
        <sz val="10"/>
        <color rgb="FFFF0000"/>
        <rFont val="Arial"/>
        <family val="2"/>
      </rPr>
      <t>3.1  THREATENED, CRITICAL AND PROTECTED SPECIES AND ECOSYSTEMS</t>
    </r>
    <r>
      <rPr>
        <b/>
        <sz val="10"/>
        <rFont val="Arial"/>
        <family val="2"/>
      </rPr>
      <t xml:space="preserve">
STATEMENT OF INTENT : Threatened and protected species are protected.</t>
    </r>
  </si>
  <si>
    <r>
      <rPr>
        <b/>
        <sz val="10"/>
        <color rgb="FFFF0000"/>
        <rFont val="Arial"/>
        <family val="2"/>
      </rPr>
      <t>3.2 ALIEN AND INVASIVE SPECIES</t>
    </r>
    <r>
      <rPr>
        <b/>
        <sz val="10"/>
        <rFont val="Arial"/>
        <family val="2"/>
      </rPr>
      <t xml:space="preserve">
STATEMENT OF INTENT : Alien and invasive species and weeds posing potential threats to biodiversity are controlled.</t>
    </r>
  </si>
  <si>
    <r>
      <rPr>
        <b/>
        <sz val="10"/>
        <color rgb="FFFF0000"/>
        <rFont val="Arial"/>
        <family val="2"/>
      </rPr>
      <t>3.3 FIRE</t>
    </r>
    <r>
      <rPr>
        <b/>
        <sz val="10"/>
        <rFont val="Arial"/>
        <family val="2"/>
      </rPr>
      <t xml:space="preserve">
STATEMENT OF INTENT: Veld and forest fires are prevented</t>
    </r>
  </si>
  <si>
    <r>
      <rPr>
        <b/>
        <sz val="10"/>
        <color rgb="FFFF0000"/>
        <rFont val="Arial"/>
        <family val="2"/>
      </rPr>
      <t>3.4 POLLUTION CONTROL</t>
    </r>
    <r>
      <rPr>
        <b/>
        <sz val="10"/>
        <rFont val="Arial"/>
        <family val="2"/>
      </rPr>
      <t xml:space="preserve">
STATEMENT OF INTENT : Significant pollution of the environment is prevented, contained, minimised or remedied. </t>
    </r>
  </si>
  <si>
    <r>
      <rPr>
        <b/>
        <sz val="10"/>
        <color rgb="FFFF0000"/>
        <rFont val="Arial"/>
        <family val="2"/>
      </rPr>
      <t>3.5 TRANSFORMATION OF THE NATURAL ENVIRONMENT</t>
    </r>
    <r>
      <rPr>
        <b/>
        <sz val="10"/>
        <rFont val="Arial"/>
        <family val="2"/>
      </rPr>
      <t xml:space="preserve">
STATEMENT OF INTENT : Significant transformation of the environment is prevented, contained, minimised or remedied.</t>
    </r>
  </si>
  <si>
    <r>
      <rPr>
        <b/>
        <sz val="10"/>
        <color rgb="FFFF0000"/>
        <rFont val="Arial"/>
        <family val="2"/>
      </rPr>
      <t>3.6 QUARRIES</t>
    </r>
    <r>
      <rPr>
        <b/>
        <sz val="10"/>
        <rFont val="Arial"/>
        <family val="2"/>
      </rPr>
      <t xml:space="preserve">
STATEMENT OF INTENT : Management of quarries to prevent environmental impacts.</t>
    </r>
  </si>
  <si>
    <r>
      <rPr>
        <b/>
        <sz val="10"/>
        <color rgb="FFFF0000"/>
        <rFont val="Arial"/>
        <family val="2"/>
      </rPr>
      <t>3.7 WATER USE</t>
    </r>
    <r>
      <rPr>
        <b/>
        <sz val="10"/>
        <rFont val="Arial"/>
        <family val="2"/>
      </rPr>
      <t xml:space="preserve">
STATEMENT OF INTENT : Water resources are conserved.</t>
    </r>
  </si>
  <si>
    <r>
      <rPr>
        <b/>
        <sz val="10"/>
        <color rgb="FFFF0000"/>
        <rFont val="Arial"/>
        <family val="2"/>
      </rPr>
      <t>3.8 WETLANDS &amp; WATERCOURSES</t>
    </r>
    <r>
      <rPr>
        <b/>
        <sz val="10"/>
        <rFont val="Arial"/>
        <family val="2"/>
      </rPr>
      <t xml:space="preserve">
STATEMENT OF INTENT : Wetlands and natural watercourses are conserved.</t>
    </r>
  </si>
  <si>
    <r>
      <rPr>
        <b/>
        <sz val="10"/>
        <color rgb="FFFF0000"/>
        <rFont val="Arial"/>
        <family val="2"/>
      </rPr>
      <t>3.9 IRRIGATION &amp; DRAINAGE</t>
    </r>
    <r>
      <rPr>
        <b/>
        <sz val="10"/>
        <rFont val="Arial"/>
        <family val="2"/>
      </rPr>
      <t xml:space="preserve">
STATEMENT OF INTENT : Irrigation systems are planned and managed to conserve water.</t>
    </r>
  </si>
  <si>
    <r>
      <rPr>
        <b/>
        <sz val="10"/>
        <color rgb="FFFF0000"/>
        <rFont val="Arial"/>
        <family val="2"/>
      </rPr>
      <t>3.10 SOIL CONSERVATION: LAYOUT</t>
    </r>
    <r>
      <rPr>
        <b/>
        <sz val="10"/>
        <rFont val="Arial"/>
        <family val="2"/>
      </rPr>
      <t xml:space="preserve">
STATEMENT OF INTENT : Soil erosion is minimised.</t>
    </r>
  </si>
  <si>
    <r>
      <rPr>
        <b/>
        <sz val="10"/>
        <color rgb="FFFF0000"/>
        <rFont val="Arial"/>
        <family val="2"/>
      </rPr>
      <t>3.11 SOIL CONSERVATION: EXTRACTION</t>
    </r>
    <r>
      <rPr>
        <b/>
        <sz val="10"/>
        <rFont val="Arial"/>
        <family val="2"/>
      </rPr>
      <t xml:space="preserve">
STATEMENT OF INTENT : Soil erosion is minimised.</t>
    </r>
  </si>
  <si>
    <r>
      <rPr>
        <b/>
        <sz val="10"/>
        <color rgb="FFFF0000"/>
        <rFont val="Arial"/>
        <family val="2"/>
      </rPr>
      <t>3.12 SOIL CONSERVATION: MANAGEMENT</t>
    </r>
    <r>
      <rPr>
        <b/>
        <sz val="10"/>
        <rFont val="Arial"/>
        <family val="2"/>
      </rPr>
      <t xml:space="preserve">
STATEMENT OF INTENT : Farming operations are managed well so as to prevent soil erosion.</t>
    </r>
  </si>
  <si>
    <r>
      <rPr>
        <b/>
        <sz val="10"/>
        <color rgb="FFFF0000"/>
        <rFont val="Arial"/>
        <family val="2"/>
      </rPr>
      <t>3.13 HAULAGE</t>
    </r>
    <r>
      <rPr>
        <b/>
        <sz val="10"/>
        <rFont val="Arial"/>
        <family val="2"/>
      </rPr>
      <t xml:space="preserve">
STATEMENT OF INTENT : Sugarcane is transported efficiently and safely with spillage and overloading avoided</t>
    </r>
  </si>
  <si>
    <r>
      <rPr>
        <b/>
        <sz val="10"/>
        <color rgb="FFFF0000"/>
        <rFont val="Arial"/>
        <family val="2"/>
      </rPr>
      <t>3.14 AGROCHEMICALS</t>
    </r>
    <r>
      <rPr>
        <b/>
        <sz val="10"/>
        <rFont val="Arial"/>
        <family val="2"/>
      </rPr>
      <t xml:space="preserve">
STATEMENT OF INTENT : Acquisition and use of agricultural remedies and fertilisers are controlled.</t>
    </r>
  </si>
  <si>
    <r>
      <rPr>
        <b/>
        <sz val="10"/>
        <color rgb="FFFF0000"/>
        <rFont val="Arial"/>
        <family val="2"/>
      </rPr>
      <t>3.15 PESTS AND DISEASES</t>
    </r>
    <r>
      <rPr>
        <b/>
        <sz val="10"/>
        <rFont val="Arial"/>
        <family val="2"/>
      </rPr>
      <t xml:space="preserve">
STATEMENT OF INTENT : Plant diseases and insect pests are prevented and controlled.</t>
    </r>
  </si>
  <si>
    <t>Do you wash or service tractors or equipment?</t>
  </si>
  <si>
    <r>
      <t xml:space="preserve">FARMING INPUTS
</t>
    </r>
    <r>
      <rPr>
        <i/>
        <sz val="11"/>
        <color theme="1"/>
        <rFont val="Arial"/>
        <family val="2"/>
      </rPr>
      <t>If you know the total annual amounts for the inputs listed in Column 1 below, then choose "Known" in Column 2 and enter the amount in Column 3.
If you do not know the amounts, choose "Unknown" in Column 2 below.
You can use the NPK Calculator on the right to work out the quantites of N, P and K in blends.</t>
    </r>
  </si>
  <si>
    <t xml:space="preserve">Have you allowed any process or activity in a listed threatened ecosystem to take place in the absence of a permit? </t>
  </si>
  <si>
    <r>
      <rPr>
        <b/>
        <sz val="10"/>
        <color theme="1"/>
        <rFont val="Arial"/>
        <family val="2"/>
      </rPr>
      <t>Option 1:</t>
    </r>
    <r>
      <rPr>
        <sz val="10"/>
        <color theme="1"/>
        <rFont val="Arial"/>
        <family val="2"/>
      </rPr>
      <t xml:space="preserve">  All water use on the farm is Schedule 1 water use.</t>
    </r>
  </si>
  <si>
    <t>Do you, on an annual basis (from 1 March to the last day of February of the following year), furnish the commissioner with a return showing amount of earnings for that year?</t>
  </si>
  <si>
    <t>Are road cuttings and fills stabilised with suitable grasses?</t>
  </si>
  <si>
    <t>Are there any areas where row alignment runs with the slope?</t>
  </si>
  <si>
    <t>Training for health and safety.
Farmers provide information, instructions, training and supervision as is necessary to ensure the health and safety of the employee at work.</t>
  </si>
  <si>
    <t>What percentage of all staff (including contract, seasonal and migrant workers) have received basic training in health and safety measures related to their work?</t>
  </si>
  <si>
    <t>Precautionary measures for potential hazards.
The farmer provides and maintains precautionary measures with respect to potential hazards to the health and safety of employees.</t>
  </si>
  <si>
    <t>Unknown</t>
  </si>
  <si>
    <t>SAI QUESTIONS</t>
  </si>
  <si>
    <t>• Do you measure and monitor all of your sources of greenhouse (GHG) emissions?</t>
  </si>
  <si>
    <t>• Have you established and implemented a grievance mechanism that allows permanent, temporary and seasonal workers the right to report complaints, in the knowledge that a) grievances will be investigated and b) any upheld findings will be actioned?</t>
  </si>
  <si>
    <t xml:space="preserve">• Do you directly or indirectly employ any permanent, temporary, seasonal or voluntary workers, including family members?      </t>
  </si>
  <si>
    <t>General Occupational Health and Safety (OHS)</t>
  </si>
  <si>
    <t>• Are emergency contact details available and easily accessible at the farm to meet all reasonably foreseeable emergency medical situations?</t>
  </si>
  <si>
    <t>• Where applicable, do you ensure that all permanent, temporary and seasonal workers who may be vulnerable or whose immune systems may be compromised do not handle plant protection products (PPPs) or hazardous substances?</t>
  </si>
  <si>
    <t>• Do you take any measures to prevent bribery, corruption and fraud, in accordance with relevant legislation?</t>
  </si>
  <si>
    <t>FARM MANAGEMENT AND COMMUNITY</t>
  </si>
  <si>
    <t>• Do you handle, produce or process GMOs on your land?</t>
  </si>
  <si>
    <t>AIR QUALITY AND EMISSIONS</t>
  </si>
  <si>
    <t xml:space="preserve">LABOUR CONDITIONS </t>
  </si>
  <si>
    <t xml:space="preserve">This could include a Cane Supply Agreement which specifies business ethics, audited financials or evidence of tax compliance. </t>
  </si>
  <si>
    <t>This could include a delivery note from the field, weighbridge receipt notes, consignment notes,or reconciliation with Cane Testing Services.</t>
  </si>
  <si>
    <t>• Do you have contracts in place for the purchase of your product which take into consideration (a) specification, (b) price, (c) volume, and (d) payment terms and conditions?</t>
  </si>
  <si>
    <t>• Do you have a documented system to manage the traceability of your product? (i.e. a record of all consignments from field to mill?</t>
  </si>
  <si>
    <t>This could include a Cane Supply Agreement.</t>
  </si>
  <si>
    <t>• If yes, can you demonstrate compliance with the handling, production and processing of approved genetically modified organisms (GMOs) on your land, in accordance with relevant legislation, seed company guidelines and client requirements?</t>
  </si>
  <si>
    <t>For example, the use of GM maize is subject to compliance with technology stewardship requirements as provided for in the Plant Improvement Act (Act 53 of 1976), the Plant Breeders Rights Act (Act 15 of 1976), the South African Patents Act (Act 57 of 1978) the South African Trade Marks Act (Act 194 of 1993), the Genetically Modified Organisms (GMO) Act (Act 15 of 1997) and the GMO Amendment Act (Act 26 of 2006)</t>
  </si>
  <si>
    <t>• Have you identified and sourced any clean and sustainable sources of renewable energy for your farming operations (such as solar, biogas etc.)?</t>
  </si>
  <si>
    <t>PLANT MATERIAL SELECTION AND PROPAGATION : Genetically Modified Organisms (GMOs)</t>
  </si>
  <si>
    <t>OCCUPATIONAL HEALTH &amp; SAFETY (OHS)</t>
  </si>
  <si>
    <t>• Where applicable, do you provide medical screening for all permanent, temporary and seasonal workers that have a higher risk of disease or health-related issues due to environmental factors or the nature of their work?</t>
  </si>
  <si>
    <t xml:space="preserve">This could include a complaints form or dropbox, guidelines on how the complaint is investigated and actioned and how feedback is provided. </t>
  </si>
  <si>
    <t xml:space="preserve">This could include posters on notice boards and details of first aiders </t>
  </si>
  <si>
    <t>• Do you take appropriate measures to prevent the risk of cross-contamination with conventional (non-GMO) material also grown on your land or in the wider community, in accordance with relevant legislation and seed company guidelines?</t>
  </si>
  <si>
    <t>Employment Equity Act, 55 of 1998</t>
  </si>
  <si>
    <t>Labour Relations Act, 66 of 1995</t>
  </si>
  <si>
    <t>National Environmental Management: Biodiversity Act 10 of 2004, for restricted activities</t>
  </si>
  <si>
    <t>National Roads Amendment Act, 64 of 2008</t>
  </si>
  <si>
    <t>Farmers comply with the National Veld and Forest Fire Act 101 of 1998.</t>
  </si>
  <si>
    <t>Fertilizers, Farm Feeds, Seeds and Remedies Act, 36 of 1947</t>
  </si>
  <si>
    <t>SUSFARMS VERSION 4.1</t>
  </si>
  <si>
    <t>This could include blood tests for chemical handlers and storage personnel prior and post employment or medical screenings.</t>
  </si>
  <si>
    <t>• Do you provide information and/or support to workers of the availability of health care facilities?</t>
  </si>
  <si>
    <t>• Where accommodation is provided, is there access to appropriate cooking facilities?</t>
  </si>
  <si>
    <r>
      <t xml:space="preserve">STATEMENT OF INTENT
SUSFARMS is aligned with the SAI Platform (a globally used, certified system). In order to maintain the highest integrity of this alignment, the following questions should be addressed in your annual SUSFARMS Self-Assesment. 
</t>
    </r>
    <r>
      <rPr>
        <b/>
        <sz val="9"/>
        <color theme="1"/>
        <rFont val="Arial"/>
        <family val="2"/>
      </rPr>
      <t>*Please note that these questions will not be factored into your SUSFARMS score for 2024.</t>
    </r>
    <r>
      <rPr>
        <b/>
        <sz val="10"/>
        <color theme="1"/>
        <rFont val="Arial"/>
        <family val="2"/>
      </rPr>
      <t xml:space="preserve"> </t>
    </r>
  </si>
  <si>
    <t>2,4-D Amine Soluble</t>
  </si>
  <si>
    <t>2,4-D Ester 500 EC</t>
  </si>
  <si>
    <t>Acetochlor 700 S</t>
  </si>
  <si>
    <t xml:space="preserve">Acetochlor 750 </t>
  </si>
  <si>
    <t>Acetochlor S 700</t>
  </si>
  <si>
    <t>Acetogan 900 EC</t>
  </si>
  <si>
    <t>Acetogan Plus 768 EC</t>
  </si>
  <si>
    <t>Actara SC</t>
  </si>
  <si>
    <t>Addition 150 SC</t>
  </si>
  <si>
    <t>Advance 150 SC</t>
  </si>
  <si>
    <t>Agriquat 200 SL</t>
  </si>
  <si>
    <t xml:space="preserve">Agroquat </t>
  </si>
  <si>
    <t>Alachlor 384 EC</t>
  </si>
  <si>
    <t>Allice 20 SP</t>
  </si>
  <si>
    <t>Amazing 480 SC</t>
  </si>
  <si>
    <t>Anaconda 500 SC</t>
  </si>
  <si>
    <t>Apax 500 SC</t>
  </si>
  <si>
    <t xml:space="preserve">Armadillo </t>
  </si>
  <si>
    <t>Atranex 500 SC</t>
  </si>
  <si>
    <t>Atrasien 500 SC</t>
  </si>
  <si>
    <t>Atrazine 500 SC</t>
  </si>
  <si>
    <t>Authority 480 SC</t>
  </si>
  <si>
    <t>Avi-Merkaptothion DP</t>
  </si>
  <si>
    <t>Badger 700 EC</t>
  </si>
  <si>
    <t>Bazooka</t>
  </si>
  <si>
    <t>Benevia 100 OD</t>
  </si>
  <si>
    <t>Bishop</t>
  </si>
  <si>
    <t>Blative 200 SL</t>
  </si>
  <si>
    <t>Bounty 450 SL</t>
  </si>
  <si>
    <t>Bowler 960 EC</t>
  </si>
  <si>
    <t>Buffalo</t>
  </si>
  <si>
    <t xml:space="preserve">Caballo </t>
  </si>
  <si>
    <t>Castle Ametryn</t>
  </si>
  <si>
    <t>Castle Atrazine 500</t>
  </si>
  <si>
    <t>Chesa 200 SL</t>
  </si>
  <si>
    <t>Chrome Plus 750 WG</t>
  </si>
  <si>
    <t>Clearout 500 WG</t>
  </si>
  <si>
    <t>Clincher 960 EC</t>
  </si>
  <si>
    <t>Coller 200 SL</t>
  </si>
  <si>
    <t>Commander</t>
  </si>
  <si>
    <t>Crocodile</t>
  </si>
  <si>
    <t>Crown 750 WDG</t>
  </si>
  <si>
    <t>Cyprex WG</t>
  </si>
  <si>
    <t>Diablo 800 SC</t>
  </si>
  <si>
    <t>Diamant 700 S</t>
  </si>
  <si>
    <t>Effon 480 SL</t>
  </si>
  <si>
    <t>Enviro Glyphosate 360</t>
  </si>
  <si>
    <t xml:space="preserve">Eptam Super </t>
  </si>
  <si>
    <t xml:space="preserve">EPTC Plus </t>
  </si>
  <si>
    <t>EPTC Plus 720 EC</t>
  </si>
  <si>
    <t>Eradicate Plus 720 EC</t>
  </si>
  <si>
    <t>Extreme plus</t>
  </si>
  <si>
    <t>FarmAg 2,4-D 720 SL</t>
  </si>
  <si>
    <t>FarmAg Acetochlor S 700</t>
  </si>
  <si>
    <t>Farm-Ag Ametryn 500 SC</t>
  </si>
  <si>
    <t>FarmAg Atrazine 500 SC</t>
  </si>
  <si>
    <t>FarmAg Diuron 800 WG</t>
  </si>
  <si>
    <t>Farmag EPTC S</t>
  </si>
  <si>
    <t>FarmAg Ethephon</t>
  </si>
  <si>
    <t>FarmAg Hexazinone 480 SL</t>
  </si>
  <si>
    <t>Farmag MCPA</t>
  </si>
  <si>
    <t>Farmag MSMA 720 SL</t>
  </si>
  <si>
    <t>FarmAg Paraquat 200</t>
  </si>
  <si>
    <t>Farmex</t>
  </si>
  <si>
    <t>Farmuron 400 SC</t>
  </si>
  <si>
    <t>Fastac EC</t>
  </si>
  <si>
    <t>Fastac SC</t>
  </si>
  <si>
    <t>Flatdown</t>
  </si>
  <si>
    <t xml:space="preserve">Fluzie </t>
  </si>
  <si>
    <t>Fullstop 200 SL</t>
  </si>
  <si>
    <t>Galaxy 320 SL</t>
  </si>
  <si>
    <t>Galigan 240 EC</t>
  </si>
  <si>
    <t>Glynox 540 SL</t>
  </si>
  <si>
    <t>Glyphogan 360 SL</t>
  </si>
  <si>
    <t>Glyphogan Plus</t>
  </si>
  <si>
    <t xml:space="preserve">Gramoxone </t>
  </si>
  <si>
    <t>Halo 750 WDG</t>
  </si>
  <si>
    <t>Halo-Fron WG</t>
  </si>
  <si>
    <t>Harness Extra EC</t>
  </si>
  <si>
    <t>HexaziMax 240 SL</t>
  </si>
  <si>
    <t>Hexazinone 240</t>
  </si>
  <si>
    <t>Hexazinone 240 SL</t>
  </si>
  <si>
    <t>Hexazinone 750 WDG</t>
  </si>
  <si>
    <t>Hexsan 240 SL</t>
  </si>
  <si>
    <t>Hornet 480 SL</t>
  </si>
  <si>
    <t>Imposter 750 WP</t>
  </si>
  <si>
    <t>Karmex DF</t>
  </si>
  <si>
    <t xml:space="preserve">Kleen Up </t>
  </si>
  <si>
    <t>Knersus 200 SL</t>
  </si>
  <si>
    <t>Lava</t>
  </si>
  <si>
    <t>Lava 800 WDG</t>
  </si>
  <si>
    <t>Lava 900 WDG</t>
  </si>
  <si>
    <t xml:space="preserve">Lion </t>
  </si>
  <si>
    <t>Manter 750 WDG</t>
  </si>
  <si>
    <t>MCPA 750 Dmax</t>
  </si>
  <si>
    <t>Mentor</t>
  </si>
  <si>
    <t xml:space="preserve">Merlin </t>
  </si>
  <si>
    <t>Meta 960</t>
  </si>
  <si>
    <t>Metagan Gold</t>
  </si>
  <si>
    <t>Metaxa 700 WDG</t>
  </si>
  <si>
    <t>Metrad 760 WDG</t>
  </si>
  <si>
    <t>Metribuzin 700 WDG</t>
  </si>
  <si>
    <t>Moddus</t>
  </si>
  <si>
    <t>Nufarm 2,4-D Amine 480 SL</t>
  </si>
  <si>
    <t>Nufarm Diuron 900 WG Herbicide</t>
  </si>
  <si>
    <t>Nufarm MCPA</t>
  </si>
  <si>
    <t>Oryx 240 EC</t>
  </si>
  <si>
    <t>Palladium 960 EC</t>
  </si>
  <si>
    <t>Panga 360 SL</t>
  </si>
  <si>
    <t>Panga Turbo 450 SL</t>
  </si>
  <si>
    <t>Parabat Extra 660 WP</t>
  </si>
  <si>
    <t>Paradigm 500 EC</t>
  </si>
  <si>
    <t>Paragone 200 SL</t>
  </si>
  <si>
    <t>Parody 200 SL</t>
  </si>
  <si>
    <t xml:space="preserve">Pendulum </t>
  </si>
  <si>
    <t>Piranha 360 SL</t>
  </si>
  <si>
    <t xml:space="preserve">Preeglone </t>
  </si>
  <si>
    <t>Primagram Gold</t>
  </si>
  <si>
    <t>Refuge 360 CS</t>
  </si>
  <si>
    <t xml:space="preserve">Reglone </t>
  </si>
  <si>
    <t>Rescue</t>
  </si>
  <si>
    <t xml:space="preserve">Restrict </t>
  </si>
  <si>
    <t>S- MOC 960</t>
  </si>
  <si>
    <t>Safari</t>
  </si>
  <si>
    <t>Scat 360 SL</t>
  </si>
  <si>
    <t>Sentak SC</t>
  </si>
  <si>
    <t xml:space="preserve">Servian </t>
  </si>
  <si>
    <t>Sharda Glyphosate 360 SL</t>
  </si>
  <si>
    <t>Sharda Glyphosate 500 WG</t>
  </si>
  <si>
    <t>Sharda Hexazinone 240 SL</t>
  </si>
  <si>
    <t>Sharda Hexazinone 750 WG</t>
  </si>
  <si>
    <t>Sharda Paraquat 200 SL</t>
  </si>
  <si>
    <t>Sharmin 480 SL</t>
  </si>
  <si>
    <t xml:space="preserve">Skoffel 200 Super </t>
  </si>
  <si>
    <t>Slash 360 SL</t>
  </si>
  <si>
    <t>Slash Turbo 450 SL</t>
  </si>
  <si>
    <t>Spectrum 538 SE</t>
  </si>
  <si>
    <t>Springbok 360 SL</t>
  </si>
  <si>
    <t>Squash 550 EC</t>
  </si>
  <si>
    <t>Sulcoron</t>
  </si>
  <si>
    <t>Tolla 840 S</t>
  </si>
  <si>
    <t xml:space="preserve">Tremor </t>
  </si>
  <si>
    <t>Tripac 250 EC</t>
  </si>
  <si>
    <t>Trolli 900 EC</t>
  </si>
  <si>
    <t xml:space="preserve">Unimark </t>
  </si>
  <si>
    <t>V- Zone 750 DF</t>
  </si>
  <si>
    <t>Villa- Klor 480 CS</t>
  </si>
  <si>
    <t xml:space="preserve">Vixen </t>
  </si>
  <si>
    <t>Volley 125 EC</t>
  </si>
  <si>
    <t>Voloxytril 400 EC</t>
  </si>
  <si>
    <t xml:space="preserve">Voltril </t>
  </si>
  <si>
    <t>Vulture 480 EC</t>
  </si>
  <si>
    <t>X-Tinct SC</t>
  </si>
  <si>
    <t>Known</t>
  </si>
  <si>
    <t>© March 2024</t>
  </si>
  <si>
    <t>Release 01</t>
  </si>
  <si>
    <t xml:space="preserve">If you have a record of all agrochemicals used during the year under review, select "Known" in Column 2 on the right. Then, enter all the agrochemicals used by selecting from the dropdown list in Column 1 below.
Thereafter, enter the volume or mass (in litres or kgs) used during the past year in Column 2.
If an agrochemical does not appear in the dropdown list, type the name in the 'Other Agrochemicals' section in Column 1. 
Then enter the volume or mass in Column 2, AND the amount of active ingredient (in g/litre, from chemical label) in Column 3.  </t>
  </si>
  <si>
    <t>1 March 2024 - 28 February 2025</t>
  </si>
  <si>
    <t>VERSION 4.1 2025</t>
  </si>
  <si>
    <t>2,4-D Iso-Octyl Ester</t>
  </si>
  <si>
    <t>Acetochlor 700 EC (L10098)</t>
  </si>
  <si>
    <t>Acetochlor 700 EC (L7636)</t>
  </si>
  <si>
    <t>Acetochlor 900 EC (L6514)</t>
  </si>
  <si>
    <t>Acetochlor 900 EC (L7633)</t>
  </si>
  <si>
    <t>Adama MCPA</t>
  </si>
  <si>
    <t>Adama Quat</t>
  </si>
  <si>
    <t>Ag-Metribuzin 480 SC</t>
  </si>
  <si>
    <t>Agroquat 200 SL</t>
  </si>
  <si>
    <t>Ametryn 500 SC  (L7742)</t>
  </si>
  <si>
    <t>Ametryn 500 SC (L7030)</t>
  </si>
  <si>
    <t>Ametryn 500 SC (L8219)</t>
  </si>
  <si>
    <t>Armada</t>
  </si>
  <si>
    <t>Arsenal Gen 2</t>
  </si>
  <si>
    <t>Atrazine 900WG</t>
  </si>
  <si>
    <t>Avi- Amine 720</t>
  </si>
  <si>
    <t>Avi-D-Weed SL</t>
  </si>
  <si>
    <t>Bolldex</t>
  </si>
  <si>
    <t>Bromotril Terbu</t>
  </si>
  <si>
    <t>Buccaneer 960</t>
  </si>
  <si>
    <t>Chikara 250 WG</t>
  </si>
  <si>
    <t>Cordial 200 SC</t>
  </si>
  <si>
    <t>Diuron 800 SC (L6236)</t>
  </si>
  <si>
    <t>Diuron 800 SC (L7042)</t>
  </si>
  <si>
    <t>Emperor 50 WG</t>
  </si>
  <si>
    <t>Ethapon 480 SL (L4776)</t>
  </si>
  <si>
    <t>Ethapon 480 SL (L5023)</t>
  </si>
  <si>
    <t xml:space="preserve">Ethepon </t>
  </si>
  <si>
    <t>Farm-Ag Acetochlor 900 EC</t>
  </si>
  <si>
    <t>Farm-Ag Alachlor 384 SC</t>
  </si>
  <si>
    <t>FarmAg Metribuzin 480</t>
  </si>
  <si>
    <t>Fluzie</t>
  </si>
  <si>
    <t xml:space="preserve">Gallant Super </t>
  </si>
  <si>
    <t>Glufosinex</t>
  </si>
  <si>
    <t>Hibou 500 SC</t>
  </si>
  <si>
    <t>InCide 300 WG</t>
  </si>
  <si>
    <t>MCPA 400 SL (L5793)</t>
  </si>
  <si>
    <t>MCPA 400 SL (L5795)</t>
  </si>
  <si>
    <t>METO</t>
  </si>
  <si>
    <t>Minikin 250 EC</t>
  </si>
  <si>
    <t>MSMA 720 SL (L3754)</t>
  </si>
  <si>
    <t>MSMA 720 SL (L4594)</t>
  </si>
  <si>
    <t>MSMA 720 SL (L7279)</t>
  </si>
  <si>
    <t>MSMA 720 SL (L8463)</t>
  </si>
  <si>
    <t>Paraquat 200</t>
  </si>
  <si>
    <t>Paraquat SL</t>
  </si>
  <si>
    <t>Rebel 500 WG</t>
  </si>
  <si>
    <t>Tolla 960 EC</t>
  </si>
  <si>
    <t>TumbleWeed</t>
  </si>
  <si>
    <t>Zizania 250 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</si>
</sst>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0"/>
      <color theme="1"/>
      <name val="Arial"/>
      <family val="2"/>
    </font>
    <font>
      <sz val="11"/>
      <color theme="1"/>
      <name val="Arial"/>
      <family val="2"/>
    </font>
    <font>
      <b/>
      <sz val="10"/>
      <color theme="1"/>
      <name val="Arial"/>
      <family val="2"/>
    </font>
    <font>
      <b/>
      <sz val="10"/>
      <color rgb="FFFF0000"/>
      <name val="Arial"/>
      <family val="2"/>
    </font>
    <font>
      <u/>
      <sz val="10"/>
      <color theme="10"/>
      <name val="Arial"/>
      <family val="2"/>
    </font>
    <font>
      <b/>
      <sz val="12"/>
      <color rgb="FFFF0000"/>
      <name val="Arial"/>
      <family val="2"/>
    </font>
    <font>
      <sz val="10"/>
      <color theme="0" tint="-0.14999847407452621"/>
      <name val="Arial"/>
      <family val="2"/>
    </font>
    <font>
      <sz val="10"/>
      <name val="Arial"/>
      <family val="2"/>
    </font>
    <font>
      <sz val="24"/>
      <color theme="0"/>
      <name val="Arial"/>
      <family val="2"/>
    </font>
    <font>
      <sz val="10"/>
      <color theme="0"/>
      <name val="Arial"/>
      <family val="2"/>
    </font>
    <font>
      <sz val="10"/>
      <color theme="3" tint="-0.249977111117893"/>
      <name val="Arial"/>
      <family val="2"/>
    </font>
    <font>
      <b/>
      <sz val="12"/>
      <color theme="1"/>
      <name val="Arial"/>
      <family val="2"/>
    </font>
    <font>
      <b/>
      <sz val="10"/>
      <name val="Arial"/>
      <family val="2"/>
    </font>
    <font>
      <sz val="11"/>
      <color theme="0"/>
      <name val="Arial"/>
      <family val="2"/>
    </font>
    <font>
      <sz val="10"/>
      <color rgb="FFFF0000"/>
      <name val="Arial"/>
      <family val="2"/>
    </font>
    <font>
      <i/>
      <sz val="10"/>
      <color theme="1"/>
      <name val="Arial"/>
      <family val="2"/>
    </font>
    <font>
      <sz val="8"/>
      <name val="Arial"/>
      <family val="2"/>
    </font>
    <font>
      <sz val="10"/>
      <color rgb="FF00863D"/>
      <name val="Arial"/>
      <family val="2"/>
    </font>
    <font>
      <i/>
      <sz val="9"/>
      <color theme="1"/>
      <name val="Arial"/>
      <family val="2"/>
    </font>
    <font>
      <b/>
      <sz val="11"/>
      <color theme="0"/>
      <name val="Calibri"/>
      <family val="2"/>
      <scheme val="minor"/>
    </font>
    <font>
      <sz val="11"/>
      <color rgb="FFFF0000"/>
      <name val="Arial"/>
      <family val="2"/>
    </font>
    <font>
      <sz val="11"/>
      <color theme="1"/>
      <name val="Arial"/>
      <family val="2"/>
    </font>
    <font>
      <i/>
      <sz val="10"/>
      <color rgb="FF00863D"/>
      <name val="Arial"/>
      <family val="2"/>
    </font>
    <font>
      <sz val="12"/>
      <color rgb="FFFF0000"/>
      <name val="Arial"/>
      <family val="2"/>
    </font>
    <font>
      <b/>
      <sz val="16"/>
      <color rgb="FFFF0000"/>
      <name val="Arial"/>
      <family val="2"/>
    </font>
    <font>
      <sz val="10"/>
      <color theme="0" tint="-4.9989318521683403E-2"/>
      <name val="Arial"/>
      <family val="2"/>
    </font>
    <font>
      <sz val="14"/>
      <color theme="3" tint="0.39997558519241921"/>
      <name val="Arial"/>
      <family val="2"/>
    </font>
    <font>
      <u/>
      <sz val="10"/>
      <color theme="0" tint="-0.14999847407452621"/>
      <name val="Arial"/>
      <family val="2"/>
    </font>
    <font>
      <b/>
      <sz val="18"/>
      <color theme="0"/>
      <name val="Arial"/>
      <family val="2"/>
    </font>
    <font>
      <b/>
      <sz val="10"/>
      <color rgb="FF00863D"/>
      <name val="Arial"/>
      <family val="2"/>
    </font>
    <font>
      <sz val="8"/>
      <color rgb="FF00863D"/>
      <name val="Arial"/>
      <family val="2"/>
    </font>
    <font>
      <sz val="10"/>
      <color rgb="FF008000"/>
      <name val="Arial"/>
      <family val="2"/>
    </font>
    <font>
      <b/>
      <sz val="10"/>
      <color rgb="FFC00000"/>
      <name val="Arial"/>
      <family val="2"/>
    </font>
    <font>
      <b/>
      <sz val="12"/>
      <color rgb="FFC00000"/>
      <name val="Arial"/>
      <family val="2"/>
    </font>
    <font>
      <b/>
      <sz val="12"/>
      <color theme="4" tint="-0.249977111117893"/>
      <name val="Arial"/>
      <family val="2"/>
    </font>
    <font>
      <sz val="10"/>
      <color theme="9" tint="-0.249977111117893"/>
      <name val="Arial"/>
      <family val="2"/>
    </font>
    <font>
      <b/>
      <sz val="10"/>
      <color theme="9" tint="-0.249977111117893"/>
      <name val="Arial"/>
      <family val="2"/>
    </font>
    <font>
      <b/>
      <sz val="10"/>
      <color theme="4" tint="-0.249977111117893"/>
      <name val="Arial"/>
      <family val="2"/>
    </font>
    <font>
      <sz val="11"/>
      <color theme="4" tint="-0.499984740745262"/>
      <name val="Arial"/>
      <family val="2"/>
    </font>
    <font>
      <sz val="24"/>
      <color theme="4" tint="-0.499984740745262"/>
      <name val="Arial"/>
      <family val="2"/>
    </font>
    <font>
      <i/>
      <sz val="11"/>
      <color theme="1"/>
      <name val="Arial"/>
      <family val="2"/>
    </font>
    <font>
      <sz val="10"/>
      <color rgb="FFC00000"/>
      <name val="Arial"/>
      <family val="2"/>
    </font>
    <font>
      <sz val="11"/>
      <color rgb="FFC00000"/>
      <name val="Arial"/>
      <family val="2"/>
    </font>
    <font>
      <sz val="12"/>
      <color rgb="FF000000"/>
      <name val="Calibri Light"/>
      <family val="2"/>
    </font>
    <font>
      <b/>
      <sz val="12"/>
      <color rgb="FF000000"/>
      <name val="Calibri Light"/>
      <family val="2"/>
    </font>
    <font>
      <u/>
      <sz val="10"/>
      <name val="Arial"/>
      <family val="2"/>
    </font>
    <font>
      <vertAlign val="superscript"/>
      <sz val="10"/>
      <name val="Arial"/>
      <family val="2"/>
    </font>
    <font>
      <sz val="10"/>
      <color rgb="FF009900"/>
      <name val="Arial"/>
      <family val="2"/>
    </font>
    <font>
      <i/>
      <sz val="10"/>
      <color rgb="FFC00000"/>
      <name val="Arial"/>
      <family val="2"/>
    </font>
    <font>
      <i/>
      <sz val="10"/>
      <name val="Arial"/>
      <family val="2"/>
    </font>
    <font>
      <sz val="10"/>
      <color theme="4"/>
      <name val="Arial"/>
      <family val="2"/>
    </font>
    <font>
      <sz val="10"/>
      <color rgb="FF009242"/>
      <name val="Arial"/>
      <family val="2"/>
    </font>
    <font>
      <i/>
      <sz val="10"/>
      <color rgb="FFFF0000"/>
      <name val="Arial"/>
      <family val="2"/>
    </font>
    <font>
      <sz val="10"/>
      <color theme="2" tint="-0.749992370372631"/>
      <name val="Arial"/>
      <family val="2"/>
    </font>
    <font>
      <sz val="10"/>
      <color theme="1"/>
      <name val="Arial Narrow"/>
      <family val="2"/>
    </font>
    <font>
      <b/>
      <sz val="12"/>
      <color theme="4"/>
      <name val="Arial"/>
      <family val="2"/>
    </font>
    <font>
      <b/>
      <sz val="9"/>
      <color theme="1"/>
      <name val="Arial"/>
      <family val="2"/>
    </font>
    <font>
      <u/>
      <sz val="10"/>
      <color theme="0"/>
      <name val="Arial"/>
      <family val="2"/>
    </font>
  </fonts>
  <fills count="2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863D"/>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24994659260841701"/>
        <bgColor indexed="64"/>
      </patternFill>
    </fill>
    <fill>
      <patternFill patternType="solid">
        <fgColor rgb="FFA83D3A"/>
        <bgColor indexed="64"/>
      </patternFill>
    </fill>
    <fill>
      <patternFill patternType="solid">
        <fgColor theme="6" tint="0.59996337778862885"/>
        <bgColor indexed="64"/>
      </patternFill>
    </fill>
    <fill>
      <patternFill patternType="solid">
        <fgColor rgb="FF0070C0"/>
        <bgColor indexed="64"/>
      </patternFill>
    </fill>
    <fill>
      <patternFill patternType="solid">
        <fgColor theme="6" tint="0.59999389629810485"/>
        <bgColor indexed="64"/>
      </patternFill>
    </fill>
    <fill>
      <patternFill patternType="solid">
        <fgColor rgb="FFBC9C16"/>
        <bgColor indexed="64"/>
      </patternFill>
    </fill>
    <fill>
      <patternFill patternType="solid">
        <fgColor rgb="FF00B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bgColor indexed="64"/>
      </patternFill>
    </fill>
  </fills>
  <borders count="192">
    <border>
      <left/>
      <right/>
      <top/>
      <bottom/>
      <diagonal/>
    </border>
    <border>
      <left style="medium">
        <color rgb="FF00863D"/>
      </left>
      <right style="medium">
        <color rgb="FF00863D"/>
      </right>
      <top style="medium">
        <color rgb="FF00863D"/>
      </top>
      <bottom style="medium">
        <color rgb="FF00863D"/>
      </bottom>
      <diagonal/>
    </border>
    <border>
      <left style="medium">
        <color rgb="FF00863D"/>
      </left>
      <right/>
      <top style="medium">
        <color rgb="FF00863D"/>
      </top>
      <bottom style="medium">
        <color rgb="FF00863D"/>
      </bottom>
      <diagonal/>
    </border>
    <border>
      <left/>
      <right style="medium">
        <color rgb="FF00863D"/>
      </right>
      <top style="medium">
        <color rgb="FF00863D"/>
      </top>
      <bottom style="medium">
        <color rgb="FF00863D"/>
      </bottom>
      <diagonal/>
    </border>
    <border>
      <left/>
      <right/>
      <top style="medium">
        <color rgb="FF00863D"/>
      </top>
      <bottom style="medium">
        <color rgb="FF00863D"/>
      </bottom>
      <diagonal/>
    </border>
    <border>
      <left style="medium">
        <color rgb="FF00863D"/>
      </left>
      <right style="hair">
        <color rgb="FF00863D"/>
      </right>
      <top style="hair">
        <color rgb="FF00863D"/>
      </top>
      <bottom style="hair">
        <color rgb="FF00863D"/>
      </bottom>
      <diagonal/>
    </border>
    <border>
      <left style="hair">
        <color rgb="FF00863D"/>
      </left>
      <right style="hair">
        <color rgb="FF00863D"/>
      </right>
      <top style="hair">
        <color rgb="FF00863D"/>
      </top>
      <bottom style="hair">
        <color rgb="FF00863D"/>
      </bottom>
      <diagonal/>
    </border>
    <border>
      <left style="hair">
        <color rgb="FF00863D"/>
      </left>
      <right style="medium">
        <color rgb="FF00863D"/>
      </right>
      <top style="hair">
        <color rgb="FF00863D"/>
      </top>
      <bottom style="hair">
        <color rgb="FF00863D"/>
      </bottom>
      <diagonal/>
    </border>
    <border>
      <left style="medium">
        <color rgb="FF00863D"/>
      </left>
      <right/>
      <top/>
      <bottom style="medium">
        <color rgb="FF00863D"/>
      </bottom>
      <diagonal/>
    </border>
    <border>
      <left/>
      <right/>
      <top/>
      <bottom style="medium">
        <color rgb="FF00863D"/>
      </bottom>
      <diagonal/>
    </border>
    <border>
      <left/>
      <right style="medium">
        <color rgb="FF00863D"/>
      </right>
      <top/>
      <bottom style="medium">
        <color rgb="FF00863D"/>
      </bottom>
      <diagonal/>
    </border>
    <border>
      <left style="medium">
        <color rgb="FF00863D"/>
      </left>
      <right/>
      <top style="hair">
        <color rgb="FF00863D"/>
      </top>
      <bottom style="hair">
        <color rgb="FF00863D"/>
      </bottom>
      <diagonal/>
    </border>
    <border>
      <left/>
      <right style="medium">
        <color rgb="FF00863D"/>
      </right>
      <top style="hair">
        <color rgb="FF00863D"/>
      </top>
      <bottom style="hair">
        <color rgb="FF00863D"/>
      </bottom>
      <diagonal/>
    </border>
    <border>
      <left/>
      <right/>
      <top style="hair">
        <color rgb="FF00863D"/>
      </top>
      <bottom style="medium">
        <color rgb="FF00863D"/>
      </bottom>
      <diagonal/>
    </border>
    <border>
      <left style="medium">
        <color rgb="FF00863D"/>
      </left>
      <right/>
      <top style="hair">
        <color rgb="FF00863D"/>
      </top>
      <bottom style="medium">
        <color rgb="FF00863D"/>
      </bottom>
      <diagonal/>
    </border>
    <border>
      <left/>
      <right style="medium">
        <color rgb="FF00863D"/>
      </right>
      <top style="hair">
        <color rgb="FF00863D"/>
      </top>
      <bottom style="medium">
        <color rgb="FF00863D"/>
      </bottom>
      <diagonal/>
    </border>
    <border>
      <left style="medium">
        <color rgb="FF00863D"/>
      </left>
      <right/>
      <top style="medium">
        <color rgb="FF00863D"/>
      </top>
      <bottom style="hair">
        <color rgb="FF00863D"/>
      </bottom>
      <diagonal/>
    </border>
    <border>
      <left/>
      <right/>
      <top style="medium">
        <color rgb="FF00863D"/>
      </top>
      <bottom style="hair">
        <color rgb="FF00863D"/>
      </bottom>
      <diagonal/>
    </border>
    <border>
      <left/>
      <right style="medium">
        <color rgb="FF00863D"/>
      </right>
      <top style="medium">
        <color rgb="FF00863D"/>
      </top>
      <bottom style="hair">
        <color rgb="FF00863D"/>
      </bottom>
      <diagonal/>
    </border>
    <border>
      <left/>
      <right/>
      <top style="hair">
        <color rgb="FF00863D"/>
      </top>
      <bottom style="hair">
        <color rgb="FF00863D"/>
      </bottom>
      <diagonal/>
    </border>
    <border>
      <left/>
      <right/>
      <top style="medium">
        <color rgb="FF00863D"/>
      </top>
      <bottom/>
      <diagonal/>
    </border>
    <border>
      <left style="medium">
        <color rgb="FF00863D"/>
      </left>
      <right/>
      <top style="hair">
        <color rgb="FF00863D"/>
      </top>
      <bottom/>
      <diagonal/>
    </border>
    <border>
      <left/>
      <right/>
      <top style="hair">
        <color rgb="FF00863D"/>
      </top>
      <bottom/>
      <diagonal/>
    </border>
    <border>
      <left/>
      <right style="medium">
        <color rgb="FF00863D"/>
      </right>
      <top style="hair">
        <color rgb="FF00863D"/>
      </top>
      <bottom/>
      <diagonal/>
    </border>
    <border>
      <left style="hair">
        <color auto="1"/>
      </left>
      <right style="hair">
        <color auto="1"/>
      </right>
      <top style="hair">
        <color auto="1"/>
      </top>
      <bottom style="hair">
        <color auto="1"/>
      </bottom>
      <diagonal/>
    </border>
    <border>
      <left style="medium">
        <color rgb="FF00863D"/>
      </left>
      <right/>
      <top style="medium">
        <color rgb="FF00863D"/>
      </top>
      <bottom/>
      <diagonal/>
    </border>
    <border>
      <left/>
      <right style="medium">
        <color rgb="FF00863D"/>
      </right>
      <top style="medium">
        <color rgb="FF00863D"/>
      </top>
      <bottom/>
      <diagonal/>
    </border>
    <border>
      <left style="hair">
        <color rgb="FFBC9C16"/>
      </left>
      <right style="hair">
        <color rgb="FFBC9C16"/>
      </right>
      <top style="hair">
        <color rgb="FFBC9C16"/>
      </top>
      <bottom style="hair">
        <color rgb="FFBC9C16"/>
      </bottom>
      <diagonal/>
    </border>
    <border>
      <left style="thick">
        <color rgb="FFBC9C16"/>
      </left>
      <right/>
      <top style="thick">
        <color rgb="FFBC9C16"/>
      </top>
      <bottom style="thick">
        <color rgb="FFBC9C16"/>
      </bottom>
      <diagonal/>
    </border>
    <border>
      <left/>
      <right/>
      <top style="thick">
        <color rgb="FFBC9C16"/>
      </top>
      <bottom style="thick">
        <color rgb="FFBC9C16"/>
      </bottom>
      <diagonal/>
    </border>
    <border>
      <left/>
      <right style="thick">
        <color rgb="FFBC9C16"/>
      </right>
      <top style="thick">
        <color rgb="FFBC9C16"/>
      </top>
      <bottom style="thick">
        <color rgb="FFBC9C16"/>
      </bottom>
      <diagonal/>
    </border>
    <border>
      <left style="thick">
        <color rgb="FFBC9C16"/>
      </left>
      <right style="hair">
        <color rgb="FFBC9C16"/>
      </right>
      <top style="thick">
        <color rgb="FFBC9C16"/>
      </top>
      <bottom style="hair">
        <color rgb="FFBC9C16"/>
      </bottom>
      <diagonal/>
    </border>
    <border>
      <left style="hair">
        <color rgb="FFBC9C16"/>
      </left>
      <right style="hair">
        <color rgb="FFBC9C16"/>
      </right>
      <top style="thick">
        <color rgb="FFBC9C16"/>
      </top>
      <bottom style="hair">
        <color rgb="FFBC9C16"/>
      </bottom>
      <diagonal/>
    </border>
    <border>
      <left style="hair">
        <color rgb="FFBC9C16"/>
      </left>
      <right style="thick">
        <color rgb="FFBC9C16"/>
      </right>
      <top style="thick">
        <color rgb="FFBC9C16"/>
      </top>
      <bottom style="hair">
        <color rgb="FFBC9C16"/>
      </bottom>
      <diagonal/>
    </border>
    <border>
      <left style="thick">
        <color rgb="FFBC9C16"/>
      </left>
      <right style="hair">
        <color rgb="FFBC9C16"/>
      </right>
      <top style="hair">
        <color rgb="FFBC9C16"/>
      </top>
      <bottom style="hair">
        <color rgb="FFBC9C16"/>
      </bottom>
      <diagonal/>
    </border>
    <border>
      <left style="hair">
        <color rgb="FFBC9C16"/>
      </left>
      <right style="thick">
        <color rgb="FFBC9C16"/>
      </right>
      <top style="hair">
        <color rgb="FFBC9C16"/>
      </top>
      <bottom style="hair">
        <color rgb="FFBC9C16"/>
      </bottom>
      <diagonal/>
    </border>
    <border>
      <left style="hair">
        <color rgb="FFBC9C16"/>
      </left>
      <right style="hair">
        <color rgb="FFBC9C16"/>
      </right>
      <top style="hair">
        <color rgb="FFBC9C16"/>
      </top>
      <bottom style="thick">
        <color rgb="FFBC9C16"/>
      </bottom>
      <diagonal/>
    </border>
    <border>
      <left style="hair">
        <color rgb="FFBC9C16"/>
      </left>
      <right style="thick">
        <color rgb="FFBC9C16"/>
      </right>
      <top style="hair">
        <color rgb="FFBC9C16"/>
      </top>
      <bottom style="thick">
        <color rgb="FFBC9C16"/>
      </bottom>
      <diagonal/>
    </border>
    <border>
      <left style="medium">
        <color rgb="FFBC9C16"/>
      </left>
      <right style="medium">
        <color rgb="FFBC9C16"/>
      </right>
      <top style="medium">
        <color rgb="FFBC9C16"/>
      </top>
      <bottom style="medium">
        <color rgb="FFBC9C16"/>
      </bottom>
      <diagonal/>
    </border>
    <border>
      <left style="hair">
        <color rgb="FFBC9C16"/>
      </left>
      <right style="hair">
        <color rgb="FFBC9C16"/>
      </right>
      <top style="medium">
        <color rgb="FFBC9C16"/>
      </top>
      <bottom style="hair">
        <color rgb="FFBC9C16"/>
      </bottom>
      <diagonal/>
    </border>
    <border>
      <left style="hair">
        <color rgb="FFBC9C16"/>
      </left>
      <right style="medium">
        <color rgb="FFBC9C16"/>
      </right>
      <top style="medium">
        <color rgb="FFBC9C16"/>
      </top>
      <bottom style="hair">
        <color rgb="FFBC9C16"/>
      </bottom>
      <diagonal/>
    </border>
    <border>
      <left style="medium">
        <color rgb="FFBC9C16"/>
      </left>
      <right style="hair">
        <color rgb="FFBC9C16"/>
      </right>
      <top style="hair">
        <color rgb="FFBC9C16"/>
      </top>
      <bottom style="hair">
        <color rgb="FFBC9C16"/>
      </bottom>
      <diagonal/>
    </border>
    <border>
      <left style="hair">
        <color rgb="FFBC9C16"/>
      </left>
      <right style="medium">
        <color rgb="FFBC9C16"/>
      </right>
      <top style="hair">
        <color rgb="FFBC9C16"/>
      </top>
      <bottom style="hair">
        <color rgb="FFBC9C16"/>
      </bottom>
      <diagonal/>
    </border>
    <border>
      <left style="hair">
        <color rgb="FFBC9C16"/>
      </left>
      <right style="hair">
        <color rgb="FFBC9C16"/>
      </right>
      <top style="hair">
        <color rgb="FFBC9C16"/>
      </top>
      <bottom style="medium">
        <color rgb="FFBC9C16"/>
      </bottom>
      <diagonal/>
    </border>
    <border>
      <left style="hair">
        <color rgb="FFBC9C16"/>
      </left>
      <right style="medium">
        <color rgb="FFBC9C16"/>
      </right>
      <top style="hair">
        <color rgb="FFBC9C16"/>
      </top>
      <bottom style="medium">
        <color rgb="FFBC9C16"/>
      </bottom>
      <diagonal/>
    </border>
    <border>
      <left style="medium">
        <color rgb="FFBC9C16"/>
      </left>
      <right/>
      <top style="medium">
        <color rgb="FFBC9C16"/>
      </top>
      <bottom style="medium">
        <color rgb="FFBC9C16"/>
      </bottom>
      <diagonal/>
    </border>
    <border>
      <left style="medium">
        <color rgb="FFC00000"/>
      </left>
      <right style="medium">
        <color rgb="FFC00000"/>
      </right>
      <top style="medium">
        <color rgb="FFC00000"/>
      </top>
      <bottom style="medium">
        <color rgb="FFC00000"/>
      </bottom>
      <diagonal/>
    </border>
    <border>
      <left style="medium">
        <color rgb="FFC00000"/>
      </left>
      <right style="hair">
        <color rgb="FFC00000"/>
      </right>
      <top style="medium">
        <color rgb="FFC00000"/>
      </top>
      <bottom style="hair">
        <color rgb="FFC00000"/>
      </bottom>
      <diagonal/>
    </border>
    <border>
      <left style="hair">
        <color rgb="FFC00000"/>
      </left>
      <right style="hair">
        <color rgb="FFC00000"/>
      </right>
      <top style="medium">
        <color rgb="FFC00000"/>
      </top>
      <bottom style="hair">
        <color rgb="FFC00000"/>
      </bottom>
      <diagonal/>
    </border>
    <border>
      <left style="hair">
        <color rgb="FFC00000"/>
      </left>
      <right style="medium">
        <color rgb="FFC00000"/>
      </right>
      <top style="medium">
        <color rgb="FFC00000"/>
      </top>
      <bottom style="hair">
        <color rgb="FFC00000"/>
      </bottom>
      <diagonal/>
    </border>
    <border>
      <left style="medium">
        <color rgb="FFC00000"/>
      </left>
      <right style="hair">
        <color rgb="FFC00000"/>
      </right>
      <top style="hair">
        <color rgb="FFC00000"/>
      </top>
      <bottom style="hair">
        <color rgb="FFC00000"/>
      </bottom>
      <diagonal/>
    </border>
    <border>
      <left style="hair">
        <color rgb="FFC00000"/>
      </left>
      <right style="hair">
        <color rgb="FFC00000"/>
      </right>
      <top style="hair">
        <color rgb="FFC00000"/>
      </top>
      <bottom style="hair">
        <color rgb="FFC00000"/>
      </bottom>
      <diagonal/>
    </border>
    <border>
      <left style="hair">
        <color rgb="FFC00000"/>
      </left>
      <right style="medium">
        <color rgb="FFC00000"/>
      </right>
      <top style="hair">
        <color rgb="FFC00000"/>
      </top>
      <bottom style="hair">
        <color rgb="FFC00000"/>
      </bottom>
      <diagonal/>
    </border>
    <border>
      <left style="medium">
        <color rgb="FFC00000"/>
      </left>
      <right style="hair">
        <color rgb="FFC00000"/>
      </right>
      <top style="hair">
        <color rgb="FFC00000"/>
      </top>
      <bottom style="medium">
        <color rgb="FFC00000"/>
      </bottom>
      <diagonal/>
    </border>
    <border>
      <left style="hair">
        <color rgb="FFC00000"/>
      </left>
      <right style="hair">
        <color rgb="FFC00000"/>
      </right>
      <top style="hair">
        <color rgb="FFC00000"/>
      </top>
      <bottom style="medium">
        <color rgb="FFC00000"/>
      </bottom>
      <diagonal/>
    </border>
    <border>
      <left style="hair">
        <color rgb="FFC00000"/>
      </left>
      <right style="medium">
        <color rgb="FFC00000"/>
      </right>
      <top style="hair">
        <color rgb="FFC00000"/>
      </top>
      <bottom style="medium">
        <color rgb="FFC00000"/>
      </bottom>
      <diagonal/>
    </border>
    <border>
      <left style="medium">
        <color rgb="FFC00000"/>
      </left>
      <right style="hair">
        <color rgb="FFC00000"/>
      </right>
      <top/>
      <bottom style="hair">
        <color rgb="FFC00000"/>
      </bottom>
      <diagonal/>
    </border>
    <border>
      <left style="hair">
        <color rgb="FFC00000"/>
      </left>
      <right style="hair">
        <color rgb="FFC00000"/>
      </right>
      <top/>
      <bottom style="hair">
        <color rgb="FFC00000"/>
      </bottom>
      <diagonal/>
    </border>
    <border>
      <left style="hair">
        <color rgb="FFC00000"/>
      </left>
      <right style="medium">
        <color rgb="FFC00000"/>
      </right>
      <top/>
      <bottom style="hair">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auto="1"/>
      </left>
      <right/>
      <top style="hair">
        <color rgb="FFC00000"/>
      </top>
      <bottom style="hair">
        <color rgb="FFC00000"/>
      </bottom>
      <diagonal/>
    </border>
    <border>
      <left/>
      <right/>
      <top style="hair">
        <color rgb="FFC00000"/>
      </top>
      <bottom style="hair">
        <color rgb="FFC00000"/>
      </bottom>
      <diagonal/>
    </border>
    <border>
      <left/>
      <right style="medium">
        <color rgb="FFC00000"/>
      </right>
      <top style="hair">
        <color rgb="FFC00000"/>
      </top>
      <bottom style="hair">
        <color rgb="FFC00000"/>
      </bottom>
      <diagonal/>
    </border>
    <border>
      <left style="hair">
        <color auto="1"/>
      </left>
      <right/>
      <top style="hair">
        <color rgb="FFC00000"/>
      </top>
      <bottom style="medium">
        <color rgb="FFC00000"/>
      </bottom>
      <diagonal/>
    </border>
    <border>
      <left/>
      <right/>
      <top style="hair">
        <color rgb="FFC00000"/>
      </top>
      <bottom style="medium">
        <color rgb="FFC00000"/>
      </bottom>
      <diagonal/>
    </border>
    <border>
      <left/>
      <right style="medium">
        <color rgb="FFC00000"/>
      </right>
      <top style="hair">
        <color rgb="FFC00000"/>
      </top>
      <bottom style="medium">
        <color rgb="FFC00000"/>
      </bottom>
      <diagonal/>
    </border>
    <border>
      <left/>
      <right style="thick">
        <color rgb="FFBC9C16"/>
      </right>
      <top style="hair">
        <color rgb="FFBC9C16"/>
      </top>
      <bottom style="hair">
        <color rgb="FFBC9C16"/>
      </bottom>
      <diagonal/>
    </border>
    <border>
      <left/>
      <right style="thick">
        <color rgb="FFBC9C16"/>
      </right>
      <top style="hair">
        <color rgb="FFBC9C16"/>
      </top>
      <bottom style="thick">
        <color rgb="FFBC9C16"/>
      </bottom>
      <diagonal/>
    </border>
    <border>
      <left style="hair">
        <color rgb="FF008000"/>
      </left>
      <right style="medium">
        <color rgb="FF00863D"/>
      </right>
      <top style="hair">
        <color rgb="FF00863D"/>
      </top>
      <bottom style="hair">
        <color rgb="FF00863D"/>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hair">
        <color auto="1"/>
      </left>
      <right style="medium">
        <color rgb="FF00B050"/>
      </right>
      <top style="hair">
        <color rgb="FF00B050"/>
      </top>
      <bottom style="hair">
        <color rgb="FF00B050"/>
      </bottom>
      <diagonal/>
    </border>
    <border>
      <left style="hair">
        <color auto="1"/>
      </left>
      <right style="medium">
        <color rgb="FF00B050"/>
      </right>
      <top style="hair">
        <color rgb="FF00B050"/>
      </top>
      <bottom style="medium">
        <color rgb="FF00B050"/>
      </bottom>
      <diagonal/>
    </border>
    <border>
      <left style="hair">
        <color auto="1"/>
      </left>
      <right style="medium">
        <color rgb="FF00B050"/>
      </right>
      <top/>
      <bottom style="hair">
        <color rgb="FF00B050"/>
      </bottom>
      <diagonal/>
    </border>
    <border>
      <left style="medium">
        <color rgb="FF00B050"/>
      </left>
      <right style="hair">
        <color rgb="FF00B050"/>
      </right>
      <top style="medium">
        <color rgb="FF00B050"/>
      </top>
      <bottom style="hair">
        <color rgb="FF00B050"/>
      </bottom>
      <diagonal/>
    </border>
    <border>
      <left style="hair">
        <color rgb="FF00B050"/>
      </left>
      <right style="hair">
        <color rgb="FF00B050"/>
      </right>
      <top style="medium">
        <color rgb="FF00B050"/>
      </top>
      <bottom style="hair">
        <color rgb="FF00B050"/>
      </bottom>
      <diagonal/>
    </border>
    <border>
      <left style="hair">
        <color rgb="FF00B050"/>
      </left>
      <right style="medium">
        <color rgb="FF00B050"/>
      </right>
      <top style="medium">
        <color rgb="FF00B050"/>
      </top>
      <bottom style="hair">
        <color rgb="FF00B050"/>
      </bottom>
      <diagonal/>
    </border>
    <border>
      <left style="medium">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medium">
        <color rgb="FF00B050"/>
      </right>
      <top style="hair">
        <color rgb="FF00B050"/>
      </top>
      <bottom style="hair">
        <color rgb="FF00B050"/>
      </bottom>
      <diagonal/>
    </border>
    <border>
      <left style="medium">
        <color rgb="FF00B050"/>
      </left>
      <right style="hair">
        <color rgb="FF00B050"/>
      </right>
      <top style="hair">
        <color rgb="FF00B050"/>
      </top>
      <bottom style="medium">
        <color rgb="FF00B050"/>
      </bottom>
      <diagonal/>
    </border>
    <border>
      <left style="hair">
        <color rgb="FF00B050"/>
      </left>
      <right style="hair">
        <color rgb="FF00B050"/>
      </right>
      <top style="hair">
        <color rgb="FF00B050"/>
      </top>
      <bottom style="medium">
        <color rgb="FF00B050"/>
      </bottom>
      <diagonal/>
    </border>
    <border>
      <left style="hair">
        <color rgb="FF00B050"/>
      </left>
      <right style="medium">
        <color rgb="FF00B050"/>
      </right>
      <top style="hair">
        <color rgb="FF00B050"/>
      </top>
      <bottom style="medium">
        <color rgb="FF00B050"/>
      </bottom>
      <diagonal/>
    </border>
    <border>
      <left style="medium">
        <color rgb="FF00B050"/>
      </left>
      <right style="hair">
        <color rgb="FF00B050"/>
      </right>
      <top/>
      <bottom style="hair">
        <color rgb="FF00B050"/>
      </bottom>
      <diagonal/>
    </border>
    <border>
      <left style="hair">
        <color rgb="FF00B050"/>
      </left>
      <right style="hair">
        <color rgb="FF00B050"/>
      </right>
      <top/>
      <bottom style="hair">
        <color rgb="FF00B050"/>
      </bottom>
      <diagonal/>
    </border>
    <border>
      <left style="hair">
        <color rgb="FF00B050"/>
      </left>
      <right style="medium">
        <color rgb="FF00B050"/>
      </right>
      <top/>
      <bottom style="hair">
        <color rgb="FF00B050"/>
      </bottom>
      <diagonal/>
    </border>
    <border>
      <left style="medium">
        <color rgb="FF00B050"/>
      </left>
      <right style="hair">
        <color rgb="FF00B050"/>
      </right>
      <top style="medium">
        <color rgb="FF00B050"/>
      </top>
      <bottom style="medium">
        <color rgb="FF00B050"/>
      </bottom>
      <diagonal/>
    </border>
    <border>
      <left style="hair">
        <color rgb="FF00B050"/>
      </left>
      <right style="hair">
        <color rgb="FF00B050"/>
      </right>
      <top style="medium">
        <color rgb="FF00B050"/>
      </top>
      <bottom style="medium">
        <color rgb="FF00B050"/>
      </bottom>
      <diagonal/>
    </border>
    <border>
      <left style="hair">
        <color rgb="FF00B050"/>
      </left>
      <right style="medium">
        <color rgb="FF00B050"/>
      </right>
      <top style="medium">
        <color rgb="FF00B050"/>
      </top>
      <bottom style="medium">
        <color rgb="FF00B050"/>
      </bottom>
      <diagonal/>
    </border>
    <border>
      <left style="medium">
        <color rgb="FF00B050"/>
      </left>
      <right/>
      <top style="hair">
        <color rgb="FF00B050"/>
      </top>
      <bottom style="hair">
        <color rgb="FF00B050"/>
      </bottom>
      <diagonal/>
    </border>
    <border>
      <left style="medium">
        <color rgb="FF00B050"/>
      </left>
      <right style="hair">
        <color rgb="FF00B050"/>
      </right>
      <top style="medium">
        <color rgb="FF00863D"/>
      </top>
      <bottom style="medium">
        <color rgb="FF00B050"/>
      </bottom>
      <diagonal/>
    </border>
    <border>
      <left style="hair">
        <color rgb="FF00B050"/>
      </left>
      <right style="hair">
        <color rgb="FF00B050"/>
      </right>
      <top style="medium">
        <color rgb="FF00863D"/>
      </top>
      <bottom style="medium">
        <color rgb="FF00B050"/>
      </bottom>
      <diagonal/>
    </border>
    <border>
      <left style="hair">
        <color rgb="FF00B050"/>
      </left>
      <right style="medium">
        <color rgb="FF00B050"/>
      </right>
      <top style="medium">
        <color rgb="FF00863D"/>
      </top>
      <bottom style="medium">
        <color rgb="FF00B050"/>
      </bottom>
      <diagonal/>
    </border>
    <border>
      <left style="medium">
        <color rgb="FF0070C0"/>
      </left>
      <right style="hair">
        <color rgb="FF0070C0"/>
      </right>
      <top style="medium">
        <color rgb="FF0070C0"/>
      </top>
      <bottom style="hair">
        <color rgb="FF0070C0"/>
      </bottom>
      <diagonal/>
    </border>
    <border>
      <left style="hair">
        <color rgb="FF0070C0"/>
      </left>
      <right style="hair">
        <color rgb="FF0070C0"/>
      </right>
      <top style="medium">
        <color rgb="FF0070C0"/>
      </top>
      <bottom style="hair">
        <color rgb="FF0070C0"/>
      </bottom>
      <diagonal/>
    </border>
    <border>
      <left style="hair">
        <color rgb="FF0070C0"/>
      </left>
      <right style="medium">
        <color rgb="FF0070C0"/>
      </right>
      <top style="medium">
        <color rgb="FF0070C0"/>
      </top>
      <bottom style="hair">
        <color rgb="FF0070C0"/>
      </bottom>
      <diagonal/>
    </border>
    <border>
      <left style="medium">
        <color rgb="FF0070C0"/>
      </left>
      <right style="hair">
        <color rgb="FF0070C0"/>
      </right>
      <top style="hair">
        <color rgb="FF0070C0"/>
      </top>
      <bottom style="hair">
        <color rgb="FF0070C0"/>
      </bottom>
      <diagonal/>
    </border>
    <border>
      <left style="hair">
        <color rgb="FF0070C0"/>
      </left>
      <right style="hair">
        <color rgb="FF0070C0"/>
      </right>
      <top style="hair">
        <color rgb="FF0070C0"/>
      </top>
      <bottom style="hair">
        <color rgb="FF0070C0"/>
      </bottom>
      <diagonal/>
    </border>
    <border>
      <left style="hair">
        <color rgb="FF0070C0"/>
      </left>
      <right style="medium">
        <color rgb="FF0070C0"/>
      </right>
      <top style="hair">
        <color rgb="FF0070C0"/>
      </top>
      <bottom style="hair">
        <color rgb="FF0070C0"/>
      </bottom>
      <diagonal/>
    </border>
    <border>
      <left style="medium">
        <color rgb="FF0070C0"/>
      </left>
      <right style="hair">
        <color rgb="FF0070C0"/>
      </right>
      <top style="hair">
        <color rgb="FF0070C0"/>
      </top>
      <bottom style="medium">
        <color rgb="FF0070C0"/>
      </bottom>
      <diagonal/>
    </border>
    <border>
      <left style="hair">
        <color rgb="FF0070C0"/>
      </left>
      <right style="hair">
        <color rgb="FF0070C0"/>
      </right>
      <top style="hair">
        <color rgb="FF0070C0"/>
      </top>
      <bottom style="medium">
        <color rgb="FF0070C0"/>
      </bottom>
      <diagonal/>
    </border>
    <border>
      <left style="hair">
        <color rgb="FF0070C0"/>
      </left>
      <right style="medium">
        <color rgb="FF0070C0"/>
      </right>
      <top style="hair">
        <color rgb="FF0070C0"/>
      </top>
      <bottom style="medium">
        <color rgb="FF0070C0"/>
      </bottom>
      <diagonal/>
    </border>
    <border>
      <left style="medium">
        <color rgb="FF0070C0"/>
      </left>
      <right style="hair">
        <color rgb="FF0070C0"/>
      </right>
      <top style="hair">
        <color rgb="FF0070C0"/>
      </top>
      <bottom/>
      <diagonal/>
    </border>
    <border>
      <left style="hair">
        <color rgb="FF0070C0"/>
      </left>
      <right style="hair">
        <color rgb="FF0070C0"/>
      </right>
      <top style="hair">
        <color rgb="FF0070C0"/>
      </top>
      <bottom/>
      <diagonal/>
    </border>
    <border>
      <left style="hair">
        <color rgb="FF0070C0"/>
      </left>
      <right style="medium">
        <color rgb="FF0070C0"/>
      </right>
      <top style="hair">
        <color rgb="FF0070C0"/>
      </top>
      <bottom/>
      <diagonal/>
    </border>
    <border>
      <left style="medium">
        <color rgb="FF0070C0"/>
      </left>
      <right style="hair">
        <color rgb="FF0070C0"/>
      </right>
      <top/>
      <bottom style="hair">
        <color rgb="FF0070C0"/>
      </bottom>
      <diagonal/>
    </border>
    <border>
      <left style="hair">
        <color rgb="FF0070C0"/>
      </left>
      <right style="hair">
        <color rgb="FF0070C0"/>
      </right>
      <top/>
      <bottom style="hair">
        <color rgb="FF0070C0"/>
      </bottom>
      <diagonal/>
    </border>
    <border>
      <left style="hair">
        <color rgb="FF0070C0"/>
      </left>
      <right style="medium">
        <color rgb="FF0070C0"/>
      </right>
      <top/>
      <bottom style="hair">
        <color rgb="FF0070C0"/>
      </bottom>
      <diagonal/>
    </border>
    <border>
      <left style="medium">
        <color rgb="FF0070C0"/>
      </left>
      <right style="hair">
        <color rgb="FF0070C0"/>
      </right>
      <top style="medium">
        <color rgb="FF0070C0"/>
      </top>
      <bottom style="medium">
        <color rgb="FF0070C0"/>
      </bottom>
      <diagonal/>
    </border>
    <border>
      <left style="hair">
        <color rgb="FF0070C0"/>
      </left>
      <right style="hair">
        <color rgb="FF0070C0"/>
      </right>
      <top style="medium">
        <color rgb="FF0070C0"/>
      </top>
      <bottom style="medium">
        <color rgb="FF0070C0"/>
      </bottom>
      <diagonal/>
    </border>
    <border>
      <left style="hair">
        <color rgb="FF0070C0"/>
      </left>
      <right style="medium">
        <color rgb="FF0070C0"/>
      </right>
      <top style="medium">
        <color rgb="FF0070C0"/>
      </top>
      <bottom style="medium">
        <color rgb="FF0070C0"/>
      </bottom>
      <diagonal/>
    </border>
    <border>
      <left style="medium">
        <color rgb="FFBC9C16"/>
      </left>
      <right/>
      <top style="hair">
        <color rgb="FFBC9C16"/>
      </top>
      <bottom style="medium">
        <color rgb="FFBC9C16"/>
      </bottom>
      <diagonal/>
    </border>
    <border>
      <left style="medium">
        <color rgb="FFBC9C16"/>
      </left>
      <right/>
      <top style="medium">
        <color rgb="FFBC9C16"/>
      </top>
      <bottom style="hair">
        <color rgb="FFBC9C16"/>
      </bottom>
      <diagonal/>
    </border>
    <border>
      <left style="medium">
        <color rgb="FFBC9C16"/>
      </left>
      <right/>
      <top style="hair">
        <color rgb="FFBC9C16"/>
      </top>
      <bottom style="hair">
        <color rgb="FFBC9C16"/>
      </bottom>
      <diagonal/>
    </border>
    <border>
      <left style="thick">
        <color rgb="FFBC9C16"/>
      </left>
      <right/>
      <top style="hair">
        <color rgb="FFBC9C16"/>
      </top>
      <bottom style="thick">
        <color rgb="FFBC9C16"/>
      </bottom>
      <diagonal/>
    </border>
    <border>
      <left style="medium">
        <color rgb="FFBC9C16"/>
      </left>
      <right/>
      <top/>
      <bottom style="hair">
        <color rgb="FFBC9C16"/>
      </bottom>
      <diagonal/>
    </border>
    <border>
      <left style="thin">
        <color rgb="FF00863D"/>
      </left>
      <right style="medium">
        <color rgb="FF00863D"/>
      </right>
      <top style="hair">
        <color theme="1"/>
      </top>
      <bottom style="medium">
        <color rgb="FF00863D"/>
      </bottom>
      <diagonal/>
    </border>
    <border>
      <left style="medium">
        <color rgb="FF00863D"/>
      </left>
      <right/>
      <top/>
      <bottom style="thin">
        <color rgb="FF00863D"/>
      </bottom>
      <diagonal/>
    </border>
    <border>
      <left style="medium">
        <color rgb="FF00863D"/>
      </left>
      <right/>
      <top/>
      <bottom style="hair">
        <color rgb="FF00863D"/>
      </bottom>
      <diagonal/>
    </border>
    <border>
      <left style="medium">
        <color rgb="FF00863D"/>
      </left>
      <right/>
      <top/>
      <bottom style="thin">
        <color theme="1"/>
      </bottom>
      <diagonal/>
    </border>
    <border>
      <left style="thin">
        <color rgb="FF00863D"/>
      </left>
      <right style="thin">
        <color rgb="FF00863D"/>
      </right>
      <top style="medium">
        <color rgb="FF00863D"/>
      </top>
      <bottom style="thin">
        <color rgb="FF00863D"/>
      </bottom>
      <diagonal/>
    </border>
    <border>
      <left style="thin">
        <color rgb="FF00863D"/>
      </left>
      <right style="thin">
        <color rgb="FF00863D"/>
      </right>
      <top/>
      <bottom style="hair">
        <color rgb="FF00863D"/>
      </bottom>
      <diagonal/>
    </border>
    <border>
      <left style="thin">
        <color rgb="FF00863D"/>
      </left>
      <right style="medium">
        <color rgb="FF00863D"/>
      </right>
      <top/>
      <bottom style="hair">
        <color rgb="FF00863D"/>
      </bottom>
      <diagonal/>
    </border>
    <border>
      <left style="thin">
        <color rgb="FF00863D"/>
      </left>
      <right style="thin">
        <color rgb="FF00863D"/>
      </right>
      <top style="hair">
        <color rgb="FF00863D"/>
      </top>
      <bottom style="hair">
        <color rgb="FF00863D"/>
      </bottom>
      <diagonal/>
    </border>
    <border>
      <left style="thin">
        <color rgb="FF00863D"/>
      </left>
      <right style="thin">
        <color rgb="FF00863D"/>
      </right>
      <top/>
      <bottom style="medium">
        <color rgb="FF00863D"/>
      </bottom>
      <diagonal/>
    </border>
    <border>
      <left style="thin">
        <color rgb="FF00863D"/>
      </left>
      <right/>
      <top style="medium">
        <color rgb="FF00863D"/>
      </top>
      <bottom style="hair">
        <color rgb="FF00863D"/>
      </bottom>
      <diagonal/>
    </border>
    <border>
      <left style="thin">
        <color rgb="FF00863D"/>
      </left>
      <right/>
      <top style="hair">
        <color rgb="FF00863D"/>
      </top>
      <bottom style="hair">
        <color rgb="FF00863D"/>
      </bottom>
      <diagonal/>
    </border>
    <border>
      <left style="thin">
        <color rgb="FF00863D"/>
      </left>
      <right/>
      <top style="hair">
        <color rgb="FF00863D"/>
      </top>
      <bottom style="medium">
        <color rgb="FF00863D"/>
      </bottom>
      <diagonal/>
    </border>
    <border>
      <left style="thin">
        <color rgb="FF00863D"/>
      </left>
      <right style="hair">
        <color rgb="FF00863D"/>
      </right>
      <top style="medium">
        <color rgb="FF00863D"/>
      </top>
      <bottom style="hair">
        <color rgb="FF00863D"/>
      </bottom>
      <diagonal/>
    </border>
    <border>
      <left style="thin">
        <color rgb="FF00863D"/>
      </left>
      <right style="hair">
        <color rgb="FF00863D"/>
      </right>
      <top style="hair">
        <color rgb="FF00863D"/>
      </top>
      <bottom/>
      <diagonal/>
    </border>
    <border>
      <left style="thin">
        <color rgb="FF00863D"/>
      </left>
      <right style="hair">
        <color rgb="FF00863D"/>
      </right>
      <top style="hair">
        <color rgb="FF00863D"/>
      </top>
      <bottom style="hair">
        <color rgb="FF00863D"/>
      </bottom>
      <diagonal/>
    </border>
    <border>
      <left style="thin">
        <color rgb="FF00863D"/>
      </left>
      <right style="hair">
        <color rgb="FF00863D"/>
      </right>
      <top style="hair">
        <color rgb="FF00863D"/>
      </top>
      <bottom style="medium">
        <color rgb="FF00863D"/>
      </bottom>
      <diagonal/>
    </border>
    <border>
      <left/>
      <right/>
      <top style="thick">
        <color rgb="FFBC9C16"/>
      </top>
      <bottom/>
      <diagonal/>
    </border>
    <border>
      <left/>
      <right style="thick">
        <color rgb="FFBC9C16"/>
      </right>
      <top style="thick">
        <color rgb="FFBC9C16"/>
      </top>
      <bottom style="hair">
        <color rgb="FFBC9C16"/>
      </bottom>
      <diagonal/>
    </border>
    <border>
      <left style="thick">
        <color rgb="FFBC9C16"/>
      </left>
      <right style="thick">
        <color rgb="FFBC9C16"/>
      </right>
      <top style="thick">
        <color rgb="FFBC9C16"/>
      </top>
      <bottom style="thick">
        <color rgb="FFBC9C16"/>
      </bottom>
      <diagonal/>
    </border>
    <border>
      <left/>
      <right style="hair">
        <color rgb="FF008000"/>
      </right>
      <top style="medium">
        <color rgb="FF00863D"/>
      </top>
      <bottom style="medium">
        <color rgb="FF00863D"/>
      </bottom>
      <diagonal/>
    </border>
    <border>
      <left style="hair">
        <color rgb="FF00863D"/>
      </left>
      <right/>
      <top style="hair">
        <color rgb="FF00863D"/>
      </top>
      <bottom style="hair">
        <color rgb="FF00863D"/>
      </bottom>
      <diagonal/>
    </border>
    <border>
      <left style="medium">
        <color rgb="FF00863D"/>
      </left>
      <right style="medium">
        <color rgb="FF00863D"/>
      </right>
      <top style="hair">
        <color rgb="FF00863D"/>
      </top>
      <bottom style="hair">
        <color rgb="FF00863D"/>
      </bottom>
      <diagonal/>
    </border>
    <border>
      <left style="thin">
        <color rgb="FF00863D"/>
      </left>
      <right style="hair">
        <color rgb="FF00863D"/>
      </right>
      <top/>
      <bottom style="hair">
        <color rgb="FF00863D"/>
      </bottom>
      <diagonal/>
    </border>
    <border>
      <left style="thin">
        <color rgb="FF00863D"/>
      </left>
      <right/>
      <top style="hair">
        <color rgb="FF00863D"/>
      </top>
      <bottom/>
      <diagonal/>
    </border>
    <border>
      <left style="hair">
        <color rgb="FF00863D"/>
      </left>
      <right style="hair">
        <color rgb="FF00863D"/>
      </right>
      <top style="hair">
        <color rgb="FF00863D"/>
      </top>
      <bottom style="medium">
        <color rgb="FF00863D"/>
      </bottom>
      <diagonal/>
    </border>
    <border>
      <left style="hair">
        <color rgb="FF00863D"/>
      </left>
      <right style="medium">
        <color rgb="FF00863D"/>
      </right>
      <top style="hair">
        <color rgb="FF00863D"/>
      </top>
      <bottom style="medium">
        <color rgb="FF00863D"/>
      </bottom>
      <diagonal/>
    </border>
    <border>
      <left style="medium">
        <color rgb="FFC00000"/>
      </left>
      <right style="hair">
        <color rgb="FFC00000"/>
      </right>
      <top/>
      <bottom/>
      <diagonal/>
    </border>
    <border>
      <left style="medium">
        <color rgb="FFC00000"/>
      </left>
      <right style="hair">
        <color rgb="FFC00000"/>
      </right>
      <top style="medium">
        <color rgb="FFC00000"/>
      </top>
      <bottom/>
      <diagonal/>
    </border>
    <border>
      <left/>
      <right style="medium">
        <color rgb="FF00B050"/>
      </right>
      <top style="hair">
        <color rgb="FF00B050"/>
      </top>
      <bottom style="hair">
        <color rgb="FF00B050"/>
      </bottom>
      <diagonal/>
    </border>
    <border>
      <left style="thin">
        <color auto="1"/>
      </left>
      <right style="thin">
        <color auto="1"/>
      </right>
      <top style="thin">
        <color auto="1"/>
      </top>
      <bottom style="thin">
        <color auto="1"/>
      </bottom>
      <diagonal/>
    </border>
    <border>
      <left style="thin">
        <color auto="1"/>
      </left>
      <right style="dotted">
        <color theme="0" tint="-0.499984740745262"/>
      </right>
      <top style="thin">
        <color auto="1"/>
      </top>
      <bottom style="thin">
        <color auto="1"/>
      </bottom>
      <diagonal/>
    </border>
    <border>
      <left style="dotted">
        <color theme="0" tint="-0.499984740745262"/>
      </left>
      <right style="dotted">
        <color theme="0" tint="-0.499984740745262"/>
      </right>
      <top style="thin">
        <color auto="1"/>
      </top>
      <bottom style="thin">
        <color auto="1"/>
      </bottom>
      <diagonal/>
    </border>
    <border>
      <left style="dotted">
        <color theme="0" tint="-0.499984740745262"/>
      </left>
      <right style="thin">
        <color auto="1"/>
      </right>
      <top style="thin">
        <color auto="1"/>
      </top>
      <bottom style="thin">
        <color auto="1"/>
      </bottom>
      <diagonal/>
    </border>
    <border>
      <left style="hair">
        <color rgb="FF00B050"/>
      </left>
      <right style="hair">
        <color rgb="FF00B050"/>
      </right>
      <top style="hair">
        <color rgb="FF00B050"/>
      </top>
      <bottom/>
      <diagonal/>
    </border>
    <border>
      <left style="hair">
        <color rgb="FF00B050"/>
      </left>
      <right style="medium">
        <color rgb="FF00B050"/>
      </right>
      <top style="hair">
        <color rgb="FF00B050"/>
      </top>
      <bottom/>
      <diagonal/>
    </border>
    <border>
      <left style="medium">
        <color rgb="FF00B050"/>
      </left>
      <right style="hair">
        <color rgb="FF00B050"/>
      </right>
      <top style="hair">
        <color rgb="FF00B050"/>
      </top>
      <bottom/>
      <diagonal/>
    </border>
    <border>
      <left/>
      <right style="medium">
        <color rgb="FFBC9C16"/>
      </right>
      <top style="hair">
        <color rgb="FFBC9C16"/>
      </top>
      <bottom style="hair">
        <color rgb="FFBC9C16"/>
      </bottom>
      <diagonal/>
    </border>
    <border>
      <left style="hair">
        <color auto="1"/>
      </left>
      <right/>
      <top/>
      <bottom/>
      <diagonal/>
    </border>
    <border>
      <left style="hair">
        <color rgb="FFBC9C16"/>
      </left>
      <right style="hair">
        <color rgb="FFBC9C16"/>
      </right>
      <top/>
      <bottom style="hair">
        <color rgb="FFBC9C16"/>
      </bottom>
      <diagonal/>
    </border>
    <border>
      <left style="hair">
        <color rgb="FFBC9C16"/>
      </left>
      <right style="medium">
        <color rgb="FFBC9C16"/>
      </right>
      <top style="hair">
        <color rgb="FFBC9C16"/>
      </top>
      <bottom/>
      <diagonal/>
    </border>
    <border>
      <left style="hair">
        <color rgb="FFBC9C16"/>
      </left>
      <right style="hair">
        <color rgb="FFBC9C16"/>
      </right>
      <top style="hair">
        <color rgb="FFBC9C16"/>
      </top>
      <bottom/>
      <diagonal/>
    </border>
    <border>
      <left style="hair">
        <color rgb="FFBC9C16"/>
      </left>
      <right style="medium">
        <color rgb="FFBC9C16"/>
      </right>
      <top style="hair">
        <color rgb="FFBC9C16"/>
      </top>
      <bottom style="hair">
        <color theme="6" tint="-0.499984740745262"/>
      </bottom>
      <diagonal/>
    </border>
    <border>
      <left style="hair">
        <color rgb="FFBC9C16"/>
      </left>
      <right style="medium">
        <color rgb="FFBC9C16"/>
      </right>
      <top style="hair">
        <color theme="6" tint="-0.499984740745262"/>
      </top>
      <bottom style="hair">
        <color theme="6" tint="-0.499984740745262"/>
      </bottom>
      <diagonal/>
    </border>
    <border>
      <left style="medium">
        <color rgb="FF00863D"/>
      </left>
      <right style="hair">
        <color rgb="FF00863D"/>
      </right>
      <top style="hair">
        <color rgb="FF00863D"/>
      </top>
      <bottom/>
      <diagonal/>
    </border>
    <border>
      <left/>
      <right style="hair">
        <color rgb="FF00863D"/>
      </right>
      <top style="hair">
        <color rgb="FF00863D"/>
      </top>
      <bottom/>
      <diagonal/>
    </border>
    <border>
      <left/>
      <right style="hair">
        <color rgb="FF00863D"/>
      </right>
      <top/>
      <bottom style="hair">
        <color rgb="FF00863D"/>
      </bottom>
      <diagonal/>
    </border>
    <border>
      <left style="medium">
        <color rgb="FF00863D"/>
      </left>
      <right style="hair">
        <color rgb="FF00863D"/>
      </right>
      <top/>
      <bottom style="hair">
        <color rgb="FF00863D"/>
      </bottom>
      <diagonal/>
    </border>
    <border>
      <left/>
      <right style="medium">
        <color rgb="FF00863D"/>
      </right>
      <top/>
      <bottom style="hair">
        <color rgb="FF00863D"/>
      </bottom>
      <diagonal/>
    </border>
    <border>
      <left style="hair">
        <color rgb="FF00863D"/>
      </left>
      <right/>
      <top style="hair">
        <color rgb="FF00863D"/>
      </top>
      <bottom/>
      <diagonal/>
    </border>
    <border>
      <left style="hair">
        <color rgb="FF00863D"/>
      </left>
      <right/>
      <top/>
      <bottom style="hair">
        <color rgb="FF00863D"/>
      </bottom>
      <diagonal/>
    </border>
    <border>
      <left style="medium">
        <color rgb="FF00863D"/>
      </left>
      <right/>
      <top style="thin">
        <color auto="1"/>
      </top>
      <bottom/>
      <diagonal/>
    </border>
    <border>
      <left/>
      <right/>
      <top style="thin">
        <color auto="1"/>
      </top>
      <bottom/>
      <diagonal/>
    </border>
    <border>
      <left style="medium">
        <color rgb="FFC00000"/>
      </left>
      <right style="hair">
        <color rgb="FFC00000"/>
      </right>
      <top style="hair">
        <color rgb="FFC00000"/>
      </top>
      <bottom/>
      <diagonal/>
    </border>
    <border>
      <left style="medium">
        <color rgb="FFBC9C16"/>
      </left>
      <right style="hair">
        <color rgb="FFBC9C16"/>
      </right>
      <top/>
      <bottom/>
      <diagonal/>
    </border>
    <border>
      <left style="hair">
        <color rgb="FF00B050"/>
      </left>
      <right/>
      <top style="hair">
        <color rgb="FF00B050"/>
      </top>
      <bottom style="hair">
        <color rgb="FF00B050"/>
      </bottom>
      <diagonal/>
    </border>
    <border>
      <left style="hair">
        <color auto="1"/>
      </left>
      <right style="hair">
        <color auto="1"/>
      </right>
      <top style="hair">
        <color auto="1"/>
      </top>
      <bottom/>
      <diagonal/>
    </border>
    <border>
      <left style="hair">
        <color rgb="FFBC9C16"/>
      </left>
      <right/>
      <top style="hair">
        <color rgb="FFBC9C16"/>
      </top>
      <bottom style="hair">
        <color rgb="FFBC9C16"/>
      </bottom>
      <diagonal/>
    </border>
    <border>
      <left/>
      <right style="hair">
        <color rgb="FF00B050"/>
      </right>
      <top style="hair">
        <color rgb="FF00B050"/>
      </top>
      <bottom style="hair">
        <color rgb="FF00B050"/>
      </bottom>
      <diagonal/>
    </border>
    <border>
      <left style="thin">
        <color rgb="FF00863D"/>
      </left>
      <right style="medium">
        <color rgb="FF00863D"/>
      </right>
      <top style="hair">
        <color rgb="FF00863D"/>
      </top>
      <bottom/>
      <diagonal/>
    </border>
    <border>
      <left style="thin">
        <color rgb="FF00863D"/>
      </left>
      <right style="medium">
        <color rgb="FF00863D"/>
      </right>
      <top style="hair">
        <color rgb="FF00863D"/>
      </top>
      <bottom style="hair">
        <color rgb="FF00863D"/>
      </bottom>
      <diagonal/>
    </border>
    <border>
      <left style="medium">
        <color rgb="FF00863D"/>
      </left>
      <right style="medium">
        <color rgb="FF00863D"/>
      </right>
      <top style="hair">
        <color rgb="FF00863D"/>
      </top>
      <bottom/>
      <diagonal/>
    </border>
    <border>
      <left/>
      <right/>
      <top/>
      <bottom style="thick">
        <color theme="9" tint="-0.249977111117893"/>
      </bottom>
      <diagonal/>
    </border>
    <border>
      <left/>
      <right/>
      <top style="thick">
        <color theme="9" tint="-0.249977111117893"/>
      </top>
      <bottom style="thick">
        <color theme="9" tint="-0.249977111117893"/>
      </bottom>
      <diagonal/>
    </border>
    <border>
      <left style="thick">
        <color theme="9" tint="-0.249977111117893"/>
      </left>
      <right/>
      <top/>
      <bottom/>
      <diagonal/>
    </border>
    <border>
      <left style="thick">
        <color theme="9" tint="-0.249977111117893"/>
      </left>
      <right/>
      <top style="thick">
        <color theme="9" tint="-0.249977111117893"/>
      </top>
      <bottom style="thick">
        <color theme="9" tint="-0.249977111117893"/>
      </bottom>
      <diagonal/>
    </border>
    <border>
      <left style="thick">
        <color theme="9" tint="-0.249977111117893"/>
      </left>
      <right style="hair">
        <color rgb="FFBC9C16"/>
      </right>
      <top style="hair">
        <color rgb="FFBC9C16"/>
      </top>
      <bottom style="hair">
        <color rgb="FFBC9C16"/>
      </bottom>
      <diagonal/>
    </border>
    <border>
      <left style="thick">
        <color theme="9" tint="-0.249977111117893"/>
      </left>
      <right style="hair">
        <color rgb="FFBC9C16"/>
      </right>
      <top style="hair">
        <color rgb="FFBC9C16"/>
      </top>
      <bottom style="thick">
        <color theme="9" tint="-0.249977111117893"/>
      </bottom>
      <diagonal/>
    </border>
    <border>
      <left style="hair">
        <color rgb="FFBC9C16"/>
      </left>
      <right/>
      <top style="hair">
        <color rgb="FF00B050"/>
      </top>
      <bottom style="hair">
        <color rgb="FFBC9C16"/>
      </bottom>
      <diagonal/>
    </border>
    <border>
      <left style="hair">
        <color theme="9" tint="-0.249977111117893"/>
      </left>
      <right style="thick">
        <color theme="9" tint="-0.249977111117893"/>
      </right>
      <top style="thick">
        <color theme="9" tint="-0.249977111117893"/>
      </top>
      <bottom/>
      <diagonal/>
    </border>
    <border>
      <left style="hair">
        <color theme="9" tint="-0.249977111117893"/>
      </left>
      <right style="thick">
        <color theme="9" tint="-0.249977111117893"/>
      </right>
      <top style="hair">
        <color theme="1"/>
      </top>
      <bottom style="thick">
        <color theme="9" tint="-0.249977111117893"/>
      </bottom>
      <diagonal/>
    </border>
    <border>
      <left style="hair">
        <color theme="9" tint="-0.249977111117893"/>
      </left>
      <right style="thick">
        <color theme="9" tint="-0.249977111117893"/>
      </right>
      <top style="hair">
        <color theme="1"/>
      </top>
      <bottom style="hair">
        <color theme="1"/>
      </bottom>
      <diagonal/>
    </border>
    <border>
      <left style="hair">
        <color rgb="FFBC9C16"/>
      </left>
      <right style="hair">
        <color theme="9" tint="-0.249977111117893"/>
      </right>
      <top style="hair">
        <color rgb="FFBC9C16"/>
      </top>
      <bottom style="thick">
        <color theme="9" tint="-0.24994659260841701"/>
      </bottom>
      <diagonal/>
    </border>
  </borders>
  <cellStyleXfs count="2">
    <xf numFmtId="0" fontId="0" fillId="0" borderId="0"/>
    <xf numFmtId="0" fontId="4" fillId="0" borderId="0" applyNumberFormat="0" applyFill="0" applyBorder="0" applyAlignment="0" applyProtection="0"/>
  </cellStyleXfs>
  <cellXfs count="488">
    <xf numFmtId="0" fontId="0" fillId="0" borderId="0" xfId="0"/>
    <xf numFmtId="0" fontId="0" fillId="0" borderId="0" xfId="0" applyAlignment="1">
      <alignment horizontal="left" vertical="center" indent="1"/>
    </xf>
    <xf numFmtId="0" fontId="9" fillId="0" borderId="0" xfId="0" applyFont="1"/>
    <xf numFmtId="1" fontId="0" fillId="0" borderId="0" xfId="0" applyNumberFormat="1"/>
    <xf numFmtId="1" fontId="3" fillId="0" borderId="0" xfId="0" applyNumberFormat="1" applyFont="1"/>
    <xf numFmtId="0" fontId="0" fillId="0" borderId="0" xfId="0" applyAlignment="1">
      <alignment horizontal="left" vertical="center" wrapText="1" indent="1"/>
    </xf>
    <xf numFmtId="0" fontId="0" fillId="0" borderId="0" xfId="0" applyAlignment="1">
      <alignment vertical="center"/>
    </xf>
    <xf numFmtId="0" fontId="14" fillId="0" borderId="0" xfId="0" applyFont="1"/>
    <xf numFmtId="0" fontId="18" fillId="0" borderId="0" xfId="0" applyFont="1"/>
    <xf numFmtId="0" fontId="18" fillId="0" borderId="0" xfId="0" applyFont="1" applyAlignment="1">
      <alignment horizontal="left" vertical="center" indent="1"/>
    </xf>
    <xf numFmtId="1" fontId="14" fillId="0" borderId="0" xfId="0" applyNumberFormat="1" applyFont="1"/>
    <xf numFmtId="2" fontId="14" fillId="0" borderId="0" xfId="0" applyNumberFormat="1" applyFont="1"/>
    <xf numFmtId="0" fontId="0" fillId="7" borderId="0" xfId="0" applyFill="1"/>
    <xf numFmtId="0" fontId="2" fillId="0" borderId="0" xfId="0" applyFont="1"/>
    <xf numFmtId="0" fontId="0" fillId="0" borderId="0" xfId="0" applyAlignment="1">
      <alignment horizontal="left"/>
    </xf>
    <xf numFmtId="164" fontId="0" fillId="0" borderId="0" xfId="0" applyNumberFormat="1"/>
    <xf numFmtId="2" fontId="0" fillId="7" borderId="0" xfId="0" applyNumberFormat="1" applyFill="1"/>
    <xf numFmtId="0" fontId="0" fillId="2" borderId="0" xfId="0" applyFill="1" applyAlignment="1">
      <alignment horizontal="left" vertical="center" wrapText="1" indent="1"/>
    </xf>
    <xf numFmtId="0" fontId="0" fillId="11" borderId="0" xfId="0" applyFill="1"/>
    <xf numFmtId="9" fontId="0" fillId="0" borderId="0" xfId="0" applyNumberFormat="1"/>
    <xf numFmtId="164" fontId="0" fillId="7" borderId="0" xfId="0" applyNumberFormat="1" applyFill="1"/>
    <xf numFmtId="0" fontId="0" fillId="0" borderId="0" xfId="0" applyAlignment="1">
      <alignment horizontal="right"/>
    </xf>
    <xf numFmtId="0" fontId="7" fillId="0" borderId="0" xfId="0" applyFont="1"/>
    <xf numFmtId="0" fontId="16" fillId="0" borderId="0" xfId="0" applyFont="1" applyAlignment="1">
      <alignment horizontal="right" wrapText="1" indent="1"/>
    </xf>
    <xf numFmtId="164" fontId="14" fillId="0" borderId="0" xfId="0" applyNumberFormat="1" applyFont="1" applyAlignment="1">
      <alignment horizontal="right"/>
    </xf>
    <xf numFmtId="0" fontId="14" fillId="0" borderId="0" xfId="0" applyFont="1" applyAlignment="1">
      <alignment horizontal="right"/>
    </xf>
    <xf numFmtId="2" fontId="14" fillId="0" borderId="0" xfId="0" applyNumberFormat="1" applyFont="1" applyAlignment="1">
      <alignment horizontal="right"/>
    </xf>
    <xf numFmtId="2" fontId="14" fillId="0" borderId="0" xfId="0" applyNumberFormat="1" applyFont="1" applyAlignment="1">
      <alignment horizontal="right" vertical="center"/>
    </xf>
    <xf numFmtId="2" fontId="23" fillId="0" borderId="0" xfId="0" applyNumberFormat="1" applyFont="1" applyAlignment="1">
      <alignment horizontal="right"/>
    </xf>
    <xf numFmtId="0" fontId="0" fillId="0" borderId="0" xfId="0" applyAlignment="1">
      <alignment wrapText="1"/>
    </xf>
    <xf numFmtId="0" fontId="4" fillId="0" borderId="0" xfId="1"/>
    <xf numFmtId="0" fontId="17" fillId="3" borderId="6" xfId="0" applyFont="1" applyFill="1" applyBorder="1"/>
    <xf numFmtId="0" fontId="17" fillId="3" borderId="7" xfId="0" applyFont="1" applyFill="1" applyBorder="1"/>
    <xf numFmtId="0" fontId="0" fillId="4" borderId="0" xfId="0" applyFill="1"/>
    <xf numFmtId="0" fontId="17" fillId="9" borderId="17" xfId="0" applyFont="1" applyFill="1" applyBorder="1" applyAlignment="1">
      <alignment vertical="center"/>
    </xf>
    <xf numFmtId="0" fontId="17" fillId="9" borderId="18" xfId="0" applyFont="1" applyFill="1" applyBorder="1" applyAlignment="1">
      <alignment vertical="center"/>
    </xf>
    <xf numFmtId="0" fontId="17" fillId="9" borderId="22" xfId="0" applyFont="1" applyFill="1" applyBorder="1" applyAlignment="1">
      <alignment vertical="center"/>
    </xf>
    <xf numFmtId="0" fontId="17" fillId="9" borderId="23" xfId="0" applyFont="1" applyFill="1" applyBorder="1" applyAlignment="1">
      <alignment vertical="center"/>
    </xf>
    <xf numFmtId="0" fontId="17" fillId="9" borderId="22" xfId="0" applyFont="1" applyFill="1" applyBorder="1" applyAlignment="1">
      <alignment horizontal="left" vertical="center"/>
    </xf>
    <xf numFmtId="0" fontId="17" fillId="9" borderId="23" xfId="0" applyFont="1" applyFill="1" applyBorder="1" applyAlignment="1">
      <alignment horizontal="center" vertical="center"/>
    </xf>
    <xf numFmtId="0" fontId="17" fillId="0" borderId="4" xfId="0" applyFont="1" applyBorder="1" applyAlignment="1">
      <alignment vertical="center"/>
    </xf>
    <xf numFmtId="0" fontId="17" fillId="0" borderId="0" xfId="0" applyFont="1" applyAlignment="1">
      <alignment horizontal="right" vertical="center" indent="1"/>
    </xf>
    <xf numFmtId="0" fontId="17" fillId="0" borderId="0" xfId="0" applyFont="1" applyAlignment="1">
      <alignment horizontal="center" vertical="center"/>
    </xf>
    <xf numFmtId="0" fontId="2" fillId="0" borderId="0" xfId="0" applyFont="1" applyAlignment="1">
      <alignment vertical="center"/>
    </xf>
    <xf numFmtId="0" fontId="20" fillId="0" borderId="0" xfId="0" applyFont="1" applyAlignment="1">
      <alignment vertical="center"/>
    </xf>
    <xf numFmtId="0" fontId="8" fillId="8" borderId="0" xfId="0" applyFont="1" applyFill="1" applyAlignment="1">
      <alignment vertical="center" wrapText="1"/>
    </xf>
    <xf numFmtId="0" fontId="17" fillId="0" borderId="9" xfId="0" applyFont="1" applyBorder="1" applyAlignment="1">
      <alignment horizontal="center" vertical="center"/>
    </xf>
    <xf numFmtId="0" fontId="17" fillId="16" borderId="13" xfId="0" applyFont="1" applyFill="1" applyBorder="1" applyAlignment="1">
      <alignment vertical="center"/>
    </xf>
    <xf numFmtId="0" fontId="7" fillId="16" borderId="7" xfId="0" applyFont="1" applyFill="1" applyBorder="1"/>
    <xf numFmtId="0" fontId="25" fillId="16" borderId="7" xfId="0" applyFont="1" applyFill="1" applyBorder="1"/>
    <xf numFmtId="0" fontId="4" fillId="0" borderId="31" xfId="1" applyBorder="1" applyProtection="1"/>
    <xf numFmtId="0" fontId="0" fillId="0" borderId="34" xfId="0" applyBorder="1" applyAlignment="1">
      <alignment horizontal="left" vertical="center" wrapText="1" indent="1"/>
    </xf>
    <xf numFmtId="0" fontId="0" fillId="0" borderId="34" xfId="0" applyBorder="1" applyAlignment="1">
      <alignment horizontal="left" vertical="center" indent="1"/>
    </xf>
    <xf numFmtId="9" fontId="10" fillId="5" borderId="36" xfId="0" applyNumberFormat="1" applyFont="1" applyFill="1" applyBorder="1" applyAlignment="1">
      <alignment horizontal="center" vertical="center"/>
    </xf>
    <xf numFmtId="9" fontId="10" fillId="5" borderId="37" xfId="0" applyNumberFormat="1" applyFont="1" applyFill="1" applyBorder="1" applyAlignment="1">
      <alignment horizontal="center" vertical="center"/>
    </xf>
    <xf numFmtId="0" fontId="33" fillId="2" borderId="32" xfId="0" applyFont="1" applyFill="1" applyBorder="1" applyAlignment="1">
      <alignment horizontal="center" vertical="center"/>
    </xf>
    <xf numFmtId="0" fontId="34" fillId="2" borderId="33" xfId="0" applyFont="1" applyFill="1" applyBorder="1" applyAlignment="1">
      <alignment horizontal="center" vertical="center"/>
    </xf>
    <xf numFmtId="0" fontId="33" fillId="2" borderId="39" xfId="0" applyFont="1" applyFill="1" applyBorder="1" applyAlignment="1">
      <alignment horizontal="center" vertical="center"/>
    </xf>
    <xf numFmtId="0" fontId="34" fillId="2" borderId="40" xfId="0" applyFont="1" applyFill="1" applyBorder="1" applyAlignment="1">
      <alignment horizontal="center" vertical="center"/>
    </xf>
    <xf numFmtId="0" fontId="0" fillId="0" borderId="41" xfId="0" applyBorder="1" applyAlignment="1">
      <alignment horizontal="left" vertical="center" wrapText="1" indent="1"/>
    </xf>
    <xf numFmtId="0" fontId="7" fillId="0" borderId="41" xfId="0" applyFont="1" applyBorder="1" applyAlignment="1">
      <alignment horizontal="left" vertical="center" wrapText="1" indent="1"/>
    </xf>
    <xf numFmtId="9" fontId="10" fillId="5" borderId="43" xfId="0" applyNumberFormat="1" applyFont="1" applyFill="1" applyBorder="1" applyAlignment="1">
      <alignment horizontal="center" vertical="center"/>
    </xf>
    <xf numFmtId="9" fontId="10" fillId="5" borderId="44" xfId="0" applyNumberFormat="1" applyFont="1" applyFill="1" applyBorder="1" applyAlignment="1">
      <alignment horizontal="center" vertical="center"/>
    </xf>
    <xf numFmtId="0" fontId="16" fillId="0" borderId="0" xfId="0" applyFont="1" applyAlignment="1">
      <alignment horizontal="right" wrapText="1"/>
    </xf>
    <xf numFmtId="9" fontId="0" fillId="4" borderId="38" xfId="0" applyNumberFormat="1" applyFill="1" applyBorder="1" applyAlignment="1">
      <alignment horizontal="center" vertical="center"/>
    </xf>
    <xf numFmtId="0" fontId="2" fillId="0" borderId="50" xfId="0" applyFont="1" applyBorder="1" applyAlignment="1">
      <alignment horizontal="left" vertical="center" wrapText="1" indent="1"/>
    </xf>
    <xf numFmtId="0" fontId="0" fillId="0" borderId="50" xfId="0" applyBorder="1" applyAlignment="1">
      <alignment horizontal="left" vertical="center" wrapText="1" indent="1"/>
    </xf>
    <xf numFmtId="9" fontId="0" fillId="4" borderId="54" xfId="0" applyNumberFormat="1" applyFill="1" applyBorder="1" applyAlignment="1">
      <alignment horizontal="center" vertical="center"/>
    </xf>
    <xf numFmtId="9" fontId="0" fillId="4" borderId="55" xfId="0" applyNumberFormat="1" applyFill="1" applyBorder="1" applyAlignment="1">
      <alignment horizontal="center" vertical="center"/>
    </xf>
    <xf numFmtId="0" fontId="4" fillId="0" borderId="56" xfId="1" applyBorder="1" applyAlignment="1" applyProtection="1">
      <alignment horizontal="left" vertical="center" wrapText="1" indent="1"/>
    </xf>
    <xf numFmtId="0" fontId="5" fillId="2" borderId="57" xfId="0" applyFont="1" applyFill="1" applyBorder="1" applyAlignment="1">
      <alignment horizontal="center" vertical="center"/>
    </xf>
    <xf numFmtId="0" fontId="33" fillId="2" borderId="57" xfId="0" applyFont="1" applyFill="1" applyBorder="1" applyAlignment="1">
      <alignment horizontal="center" vertical="center"/>
    </xf>
    <xf numFmtId="0" fontId="34" fillId="2" borderId="58" xfId="0" applyFont="1" applyFill="1" applyBorder="1" applyAlignment="1">
      <alignment horizontal="center" vertical="center"/>
    </xf>
    <xf numFmtId="0" fontId="12" fillId="0" borderId="50" xfId="0" applyFont="1" applyBorder="1" applyAlignment="1">
      <alignment horizontal="left" vertical="center" wrapText="1" indent="1"/>
    </xf>
    <xf numFmtId="0" fontId="4" fillId="0" borderId="47" xfId="1" applyBorder="1" applyAlignment="1" applyProtection="1">
      <alignment horizontal="left" vertical="center" wrapText="1" indent="1"/>
    </xf>
    <xf numFmtId="0" fontId="7" fillId="0" borderId="50" xfId="0" applyFont="1" applyBorder="1" applyAlignment="1">
      <alignment horizontal="left" vertical="center" wrapText="1" indent="1"/>
    </xf>
    <xf numFmtId="9" fontId="0" fillId="4" borderId="46" xfId="0" applyNumberFormat="1" applyFill="1" applyBorder="1" applyAlignment="1">
      <alignment horizontal="center" vertical="center"/>
    </xf>
    <xf numFmtId="0" fontId="33" fillId="2" borderId="48" xfId="0" applyFont="1" applyFill="1" applyBorder="1" applyAlignment="1">
      <alignment horizontal="center" vertical="center"/>
    </xf>
    <xf numFmtId="0" fontId="33" fillId="2" borderId="51" xfId="0" applyFont="1" applyFill="1" applyBorder="1" applyAlignment="1">
      <alignment horizontal="center" vertical="center"/>
    </xf>
    <xf numFmtId="0" fontId="34" fillId="2" borderId="52" xfId="0" applyFont="1" applyFill="1" applyBorder="1" applyAlignment="1">
      <alignment horizontal="center" vertical="center"/>
    </xf>
    <xf numFmtId="0" fontId="34" fillId="2" borderId="49" xfId="0" applyFont="1" applyFill="1" applyBorder="1" applyAlignment="1">
      <alignment horizontal="center" vertical="center"/>
    </xf>
    <xf numFmtId="1" fontId="11" fillId="16" borderId="71" xfId="0" applyNumberFormat="1" applyFont="1" applyFill="1" applyBorder="1" applyAlignment="1">
      <alignment horizontal="center" vertical="center"/>
    </xf>
    <xf numFmtId="0" fontId="4" fillId="0" borderId="81" xfId="1" applyBorder="1" applyAlignment="1" applyProtection="1">
      <alignment horizontal="left" vertical="center" indent="1"/>
    </xf>
    <xf numFmtId="0" fontId="33" fillId="2" borderId="82" xfId="0" applyFont="1" applyFill="1" applyBorder="1" applyAlignment="1">
      <alignment horizontal="center" vertical="center"/>
    </xf>
    <xf numFmtId="0" fontId="34" fillId="2" borderId="83" xfId="0" applyFont="1" applyFill="1" applyBorder="1" applyAlignment="1">
      <alignment horizontal="center" vertical="center"/>
    </xf>
    <xf numFmtId="0" fontId="2" fillId="0" borderId="81" xfId="0" applyFont="1" applyBorder="1" applyAlignment="1">
      <alignment horizontal="left" vertical="center" wrapText="1" indent="1"/>
    </xf>
    <xf numFmtId="0" fontId="0" fillId="0" borderId="81" xfId="0" applyBorder="1" applyAlignment="1">
      <alignment horizontal="left" vertical="center" wrapText="1" indent="1"/>
    </xf>
    <xf numFmtId="0" fontId="0" fillId="0" borderId="84" xfId="0" applyBorder="1" applyAlignment="1">
      <alignment horizontal="left" vertical="center" indent="1"/>
    </xf>
    <xf numFmtId="0" fontId="4" fillId="0" borderId="87" xfId="1" applyBorder="1" applyAlignment="1" applyProtection="1">
      <alignment horizontal="left" vertical="center" indent="1"/>
    </xf>
    <xf numFmtId="0" fontId="33" fillId="2" borderId="88" xfId="0" applyFont="1" applyFill="1" applyBorder="1" applyAlignment="1">
      <alignment horizontal="center" vertical="center"/>
    </xf>
    <xf numFmtId="0" fontId="34" fillId="2" borderId="89" xfId="0" applyFont="1" applyFill="1" applyBorder="1" applyAlignment="1">
      <alignment horizontal="center" vertical="center"/>
    </xf>
    <xf numFmtId="0" fontId="0" fillId="0" borderId="93" xfId="0" applyBorder="1" applyAlignment="1">
      <alignment horizontal="left" vertical="center" wrapText="1" indent="1"/>
    </xf>
    <xf numFmtId="9" fontId="0" fillId="16" borderId="85" xfId="0" applyNumberFormat="1" applyFill="1" applyBorder="1" applyAlignment="1">
      <alignment horizontal="center" vertical="center"/>
    </xf>
    <xf numFmtId="9" fontId="0" fillId="16" borderId="86" xfId="0" applyNumberFormat="1" applyFill="1" applyBorder="1" applyAlignment="1">
      <alignment horizontal="center" vertical="center"/>
    </xf>
    <xf numFmtId="9" fontId="0" fillId="16" borderId="71" xfId="0" applyNumberFormat="1" applyFill="1" applyBorder="1" applyAlignment="1">
      <alignment horizontal="center" vertical="center"/>
    </xf>
    <xf numFmtId="0" fontId="0" fillId="2" borderId="81" xfId="0" applyFill="1" applyBorder="1" applyAlignment="1">
      <alignment horizontal="left" vertical="center" wrapText="1" indent="1"/>
    </xf>
    <xf numFmtId="9" fontId="0" fillId="16" borderId="83" xfId="0" applyNumberFormat="1" applyFill="1" applyBorder="1" applyAlignment="1">
      <alignment horizontal="center" vertical="center" wrapText="1"/>
    </xf>
    <xf numFmtId="0" fontId="7" fillId="0" borderId="81" xfId="0" applyFont="1" applyBorder="1" applyAlignment="1">
      <alignment horizontal="left" vertical="center" wrapText="1" indent="1"/>
    </xf>
    <xf numFmtId="0" fontId="19" fillId="19" borderId="24" xfId="0" applyFont="1" applyFill="1" applyBorder="1"/>
    <xf numFmtId="0" fontId="19" fillId="15" borderId="0" xfId="0" applyFont="1" applyFill="1"/>
    <xf numFmtId="0" fontId="35" fillId="20" borderId="0" xfId="0" applyFont="1" applyFill="1"/>
    <xf numFmtId="0" fontId="2" fillId="0" borderId="100" xfId="0" applyFont="1" applyBorder="1" applyAlignment="1">
      <alignment horizontal="left" vertical="center" wrapText="1" indent="1"/>
    </xf>
    <xf numFmtId="9" fontId="0" fillId="2" borderId="101" xfId="0" applyNumberFormat="1" applyFill="1" applyBorder="1" applyAlignment="1">
      <alignment horizontal="right" indent="1"/>
    </xf>
    <xf numFmtId="9" fontId="0" fillId="2" borderId="102" xfId="0" applyNumberFormat="1" applyFill="1" applyBorder="1" applyAlignment="1">
      <alignment horizontal="right" indent="1"/>
    </xf>
    <xf numFmtId="9" fontId="0" fillId="6" borderId="101" xfId="0" applyNumberFormat="1" applyFill="1" applyBorder="1" applyAlignment="1">
      <alignment horizontal="right" indent="1"/>
    </xf>
    <xf numFmtId="9" fontId="0" fillId="6" borderId="102" xfId="0" applyNumberFormat="1" applyFill="1" applyBorder="1" applyAlignment="1">
      <alignment horizontal="right" indent="1"/>
    </xf>
    <xf numFmtId="0" fontId="0" fillId="0" borderId="100" xfId="0" applyBorder="1" applyAlignment="1">
      <alignment horizontal="left" vertical="center" wrapText="1" indent="1"/>
    </xf>
    <xf numFmtId="9" fontId="0" fillId="3" borderId="101" xfId="0" applyNumberFormat="1" applyFill="1" applyBorder="1" applyAlignment="1">
      <alignment horizontal="right" indent="1"/>
    </xf>
    <xf numFmtId="9" fontId="0" fillId="3" borderId="102" xfId="0" applyNumberFormat="1" applyFill="1" applyBorder="1" applyAlignment="1">
      <alignment horizontal="right" indent="1"/>
    </xf>
    <xf numFmtId="0" fontId="2" fillId="0" borderId="103" xfId="0" applyFont="1" applyBorder="1" applyAlignment="1">
      <alignment horizontal="left" vertical="center" wrapText="1" indent="1"/>
    </xf>
    <xf numFmtId="9" fontId="0" fillId="2" borderId="104" xfId="0" applyNumberFormat="1" applyFill="1" applyBorder="1" applyAlignment="1">
      <alignment horizontal="right" indent="1"/>
    </xf>
    <xf numFmtId="9" fontId="0" fillId="2" borderId="105" xfId="0" applyNumberFormat="1" applyFill="1" applyBorder="1" applyAlignment="1">
      <alignment horizontal="right" indent="1"/>
    </xf>
    <xf numFmtId="0" fontId="36" fillId="0" borderId="100" xfId="0" applyFont="1" applyBorder="1" applyAlignment="1">
      <alignment horizontal="left" vertical="center" wrapText="1" indent="1"/>
    </xf>
    <xf numFmtId="0" fontId="37" fillId="2" borderId="102" xfId="0" applyFont="1" applyFill="1" applyBorder="1" applyAlignment="1">
      <alignment horizontal="center" vertical="center"/>
    </xf>
    <xf numFmtId="0" fontId="32" fillId="2" borderId="101" xfId="0" applyFont="1" applyFill="1" applyBorder="1" applyAlignment="1">
      <alignment horizontal="center" vertical="center"/>
    </xf>
    <xf numFmtId="0" fontId="3" fillId="2" borderId="109" xfId="0" applyFont="1" applyFill="1" applyBorder="1" applyAlignment="1">
      <alignment horizontal="left" vertical="center" wrapText="1" indent="1"/>
    </xf>
    <xf numFmtId="0" fontId="32" fillId="2" borderId="110" xfId="0" applyFont="1" applyFill="1" applyBorder="1" applyAlignment="1">
      <alignment horizontal="center" vertical="center"/>
    </xf>
    <xf numFmtId="0" fontId="37" fillId="2" borderId="111" xfId="0" applyFont="1" applyFill="1" applyBorder="1" applyAlignment="1">
      <alignment horizontal="center" vertical="center"/>
    </xf>
    <xf numFmtId="0" fontId="2" fillId="0" borderId="106" xfId="0" applyFont="1" applyBorder="1" applyAlignment="1">
      <alignment horizontal="left" vertical="center" wrapText="1" indent="1"/>
    </xf>
    <xf numFmtId="0" fontId="0" fillId="0" borderId="107" xfId="0" applyBorder="1"/>
    <xf numFmtId="0" fontId="0" fillId="0" borderId="108" xfId="0" applyBorder="1"/>
    <xf numFmtId="0" fontId="36" fillId="2" borderId="109" xfId="0" applyFont="1" applyFill="1" applyBorder="1" applyAlignment="1">
      <alignment horizontal="left" vertical="center" wrapText="1" indent="1"/>
    </xf>
    <xf numFmtId="0" fontId="0" fillId="0" borderId="117" xfId="0" applyBorder="1" applyAlignment="1">
      <alignment horizontal="left" vertical="top" wrapText="1" indent="1"/>
    </xf>
    <xf numFmtId="0" fontId="0" fillId="0" borderId="117" xfId="0" applyBorder="1" applyAlignment="1">
      <alignment horizontal="left" vertical="center" wrapText="1" indent="1"/>
    </xf>
    <xf numFmtId="0" fontId="38" fillId="2" borderId="100" xfId="0" applyFont="1" applyFill="1" applyBorder="1" applyAlignment="1">
      <alignment horizontal="center" vertical="center" wrapText="1"/>
    </xf>
    <xf numFmtId="0" fontId="38" fillId="2" borderId="106" xfId="0" applyFont="1" applyFill="1" applyBorder="1" applyAlignment="1">
      <alignment horizontal="center" vertical="center" wrapText="1"/>
    </xf>
    <xf numFmtId="0" fontId="6" fillId="3" borderId="7" xfId="0" applyFont="1" applyFill="1" applyBorder="1"/>
    <xf numFmtId="0" fontId="2" fillId="0" borderId="119" xfId="0" applyFont="1" applyBorder="1" applyAlignment="1">
      <alignment horizontal="left" vertical="top" wrapText="1"/>
    </xf>
    <xf numFmtId="0" fontId="2" fillId="0" borderId="119" xfId="0" applyFont="1" applyBorder="1" applyAlignment="1">
      <alignment horizontal="left" vertical="center" wrapText="1" indent="1"/>
    </xf>
    <xf numFmtId="0" fontId="12" fillId="0" borderId="41" xfId="1" applyFont="1" applyBorder="1" applyAlignment="1" applyProtection="1">
      <alignment horizontal="left" vertical="center" wrapText="1" indent="1"/>
    </xf>
    <xf numFmtId="0" fontId="12" fillId="0" borderId="117" xfId="1" applyFont="1" applyBorder="1" applyAlignment="1" applyProtection="1">
      <alignment horizontal="left" vertical="center" wrapText="1" indent="1"/>
    </xf>
    <xf numFmtId="0" fontId="12" fillId="0" borderId="45" xfId="0" applyFont="1" applyBorder="1" applyAlignment="1">
      <alignment horizontal="center" vertical="center" wrapText="1"/>
    </xf>
    <xf numFmtId="0" fontId="12" fillId="0" borderId="71" xfId="0" applyFont="1" applyBorder="1" applyAlignment="1">
      <alignment horizontal="center" vertical="center" wrapText="1"/>
    </xf>
    <xf numFmtId="0" fontId="7" fillId="0" borderId="118" xfId="0" applyFont="1" applyBorder="1" applyAlignment="1">
      <alignment horizontal="right" vertical="center" wrapText="1" indent="1"/>
    </xf>
    <xf numFmtId="0" fontId="0" fillId="0" borderId="115" xfId="0" applyBorder="1" applyAlignment="1">
      <alignment horizontal="right" vertical="center" indent="1"/>
    </xf>
    <xf numFmtId="0" fontId="0" fillId="0" borderId="53" xfId="0" applyBorder="1" applyAlignment="1">
      <alignment horizontal="right" vertical="center" wrapText="1" indent="1"/>
    </xf>
    <xf numFmtId="0" fontId="12" fillId="0" borderId="46" xfId="0" applyFont="1" applyBorder="1" applyAlignment="1">
      <alignment horizontal="center" vertical="center" wrapText="1"/>
    </xf>
    <xf numFmtId="0" fontId="24" fillId="0" borderId="0" xfId="0" applyFont="1"/>
    <xf numFmtId="0" fontId="26" fillId="0" borderId="0" xfId="0" applyFont="1" applyAlignment="1">
      <alignment vertical="center"/>
    </xf>
    <xf numFmtId="0" fontId="21" fillId="0" borderId="0" xfId="0" applyFont="1" applyAlignment="1">
      <alignment vertical="center"/>
    </xf>
    <xf numFmtId="0" fontId="27" fillId="0" borderId="0" xfId="1" applyFont="1" applyProtection="1"/>
    <xf numFmtId="0" fontId="20" fillId="0" borderId="0" xfId="0" applyFont="1" applyAlignment="1">
      <alignment vertical="center" wrapText="1"/>
    </xf>
    <xf numFmtId="0" fontId="17" fillId="0" borderId="132" xfId="0" applyFont="1" applyBorder="1" applyAlignment="1" applyProtection="1">
      <alignment horizontal="right" vertical="center" indent="1"/>
      <protection locked="0"/>
    </xf>
    <xf numFmtId="0" fontId="17" fillId="0" borderId="133" xfId="0" applyFont="1" applyBorder="1" applyAlignment="1" applyProtection="1">
      <alignment horizontal="right" vertical="center" indent="1"/>
      <protection locked="0"/>
    </xf>
    <xf numFmtId="0" fontId="17" fillId="9" borderId="133" xfId="0" applyFont="1" applyFill="1" applyBorder="1" applyAlignment="1">
      <alignment horizontal="right" vertical="center" indent="1"/>
    </xf>
    <xf numFmtId="0" fontId="17" fillId="0" borderId="134" xfId="0" applyFont="1" applyBorder="1" applyAlignment="1" applyProtection="1">
      <alignment horizontal="right" vertical="center" indent="1"/>
      <protection locked="0"/>
    </xf>
    <xf numFmtId="0" fontId="17" fillId="0" borderId="125" xfId="0" applyFont="1" applyBorder="1" applyAlignment="1" applyProtection="1">
      <alignment horizontal="right" vertical="center" indent="1"/>
      <protection locked="0"/>
    </xf>
    <xf numFmtId="0" fontId="17" fillId="0" borderId="126" xfId="0" applyFont="1" applyBorder="1" applyAlignment="1" applyProtection="1">
      <alignment horizontal="right" vertical="center" indent="1"/>
      <protection locked="0"/>
    </xf>
    <xf numFmtId="0" fontId="17" fillId="0" borderId="127" xfId="0" applyFont="1" applyBorder="1" applyAlignment="1" applyProtection="1">
      <alignment horizontal="right" vertical="center" indent="1"/>
      <protection locked="0"/>
    </xf>
    <xf numFmtId="1" fontId="17" fillId="16" borderId="128" xfId="0" applyNumberFormat="1" applyFont="1" applyFill="1" applyBorder="1" applyAlignment="1">
      <alignment horizontal="right" vertical="center" indent="1"/>
    </xf>
    <xf numFmtId="49" fontId="41" fillId="0" borderId="68" xfId="0" applyNumberFormat="1" applyFont="1" applyBorder="1" applyAlignment="1" applyProtection="1">
      <alignment horizontal="center"/>
      <protection locked="0"/>
    </xf>
    <xf numFmtId="0" fontId="17" fillId="0" borderId="16" xfId="0" applyFont="1" applyBorder="1" applyAlignment="1">
      <alignment horizontal="left" vertical="center" indent="1"/>
    </xf>
    <xf numFmtId="0" fontId="17" fillId="0" borderId="122" xfId="0" applyFont="1" applyBorder="1" applyAlignment="1">
      <alignment horizontal="left" vertical="center" indent="1"/>
    </xf>
    <xf numFmtId="0" fontId="17" fillId="0" borderId="11" xfId="0" applyFont="1" applyBorder="1" applyAlignment="1">
      <alignment horizontal="left" vertical="center" indent="1"/>
    </xf>
    <xf numFmtId="0" fontId="17" fillId="0" borderId="11" xfId="0" applyFont="1" applyBorder="1" applyAlignment="1">
      <alignment horizontal="left" vertical="center" wrapText="1" indent="1"/>
    </xf>
    <xf numFmtId="0" fontId="17" fillId="0" borderId="21" xfId="0" applyFont="1" applyBorder="1" applyAlignment="1">
      <alignment horizontal="left" vertical="center" indent="1"/>
    </xf>
    <xf numFmtId="0" fontId="17" fillId="0" borderId="14" xfId="0" applyFont="1" applyBorder="1" applyAlignment="1">
      <alignment horizontal="left" vertical="center" indent="1"/>
    </xf>
    <xf numFmtId="0" fontId="29" fillId="0" borderId="121" xfId="0" applyFont="1" applyBorder="1" applyAlignment="1">
      <alignment horizontal="left" vertical="center" wrapText="1" indent="1"/>
    </xf>
    <xf numFmtId="0" fontId="17" fillId="0" borderId="123" xfId="0" applyFont="1" applyBorder="1" applyAlignment="1">
      <alignment horizontal="left" vertical="center" indent="1"/>
    </xf>
    <xf numFmtId="0" fontId="17" fillId="0" borderId="5" xfId="0" applyFont="1" applyBorder="1" applyAlignment="1">
      <alignment horizontal="left" vertical="center" indent="1"/>
    </xf>
    <xf numFmtId="0" fontId="17" fillId="0" borderId="5" xfId="0" applyFont="1" applyBorder="1" applyAlignment="1" applyProtection="1">
      <alignment horizontal="left" vertical="center" indent="1"/>
      <protection locked="0"/>
    </xf>
    <xf numFmtId="0" fontId="17" fillId="16" borderId="5" xfId="0" applyFont="1" applyFill="1" applyBorder="1" applyAlignment="1">
      <alignment horizontal="left" vertical="center" indent="1"/>
    </xf>
    <xf numFmtId="0" fontId="17" fillId="16" borderId="6" xfId="0" applyFont="1" applyFill="1" applyBorder="1" applyAlignment="1">
      <alignment horizontal="center"/>
    </xf>
    <xf numFmtId="0" fontId="29" fillId="0" borderId="124" xfId="0" applyFont="1" applyBorder="1" applyAlignment="1">
      <alignment horizontal="center" vertical="center"/>
    </xf>
    <xf numFmtId="49" fontId="41" fillId="0" borderId="137" xfId="0" applyNumberFormat="1" applyFont="1" applyBorder="1" applyProtection="1">
      <protection locked="0"/>
    </xf>
    <xf numFmtId="49" fontId="41" fillId="0" borderId="68" xfId="0" applyNumberFormat="1" applyFont="1" applyBorder="1" applyProtection="1">
      <protection locked="0"/>
    </xf>
    <xf numFmtId="49" fontId="41" fillId="0" borderId="69" xfId="0" applyNumberFormat="1" applyFont="1" applyBorder="1" applyProtection="1">
      <protection locked="0"/>
    </xf>
    <xf numFmtId="1" fontId="17" fillId="0" borderId="6" xfId="0" applyNumberFormat="1" applyFont="1" applyBorder="1" applyAlignment="1" applyProtection="1">
      <alignment horizontal="left" vertical="center" indent="1"/>
      <protection locked="0"/>
    </xf>
    <xf numFmtId="0" fontId="17" fillId="0" borderId="6" xfId="0" applyFont="1" applyBorder="1" applyAlignment="1" applyProtection="1">
      <alignment horizontal="right" vertical="center" indent="1"/>
      <protection locked="0"/>
    </xf>
    <xf numFmtId="0" fontId="17" fillId="3" borderId="6" xfId="0" applyFont="1" applyFill="1" applyBorder="1" applyAlignment="1">
      <alignment horizontal="right" vertical="center" indent="1"/>
    </xf>
    <xf numFmtId="9" fontId="0" fillId="0" borderId="27" xfId="0" applyNumberFormat="1" applyBorder="1" applyAlignment="1" applyProtection="1">
      <alignment horizontal="center" vertical="center" wrapText="1"/>
      <protection locked="0"/>
    </xf>
    <xf numFmtId="0" fontId="0" fillId="3" borderId="27" xfId="0" applyFill="1" applyBorder="1" applyAlignment="1">
      <alignment horizontal="center" vertical="center"/>
    </xf>
    <xf numFmtId="9" fontId="0" fillId="2" borderId="27" xfId="0" applyNumberFormat="1" applyFill="1" applyBorder="1" applyAlignment="1" applyProtection="1">
      <alignment horizontal="center" vertical="center" wrapText="1"/>
      <protection locked="0"/>
    </xf>
    <xf numFmtId="0" fontId="0" fillId="3" borderId="35" xfId="0" applyFill="1" applyBorder="1" applyAlignment="1">
      <alignment horizontal="center" vertical="center"/>
    </xf>
    <xf numFmtId="9" fontId="0" fillId="0" borderId="35" xfId="0" applyNumberFormat="1" applyBorder="1" applyAlignment="1" applyProtection="1">
      <alignment horizontal="center" vertical="center" wrapText="1"/>
      <protection locked="0"/>
    </xf>
    <xf numFmtId="9" fontId="0" fillId="0" borderId="42" xfId="0" applyNumberFormat="1" applyBorder="1" applyAlignment="1" applyProtection="1">
      <alignment horizontal="center" vertical="center" wrapText="1"/>
      <protection locked="0"/>
    </xf>
    <xf numFmtId="0" fontId="7" fillId="3" borderId="27" xfId="0" applyFont="1" applyFill="1" applyBorder="1" applyAlignment="1">
      <alignment horizontal="center" vertical="center"/>
    </xf>
    <xf numFmtId="0" fontId="7" fillId="3" borderId="42" xfId="0" applyFont="1" applyFill="1" applyBorder="1" applyAlignment="1">
      <alignment horizontal="center" vertical="center"/>
    </xf>
    <xf numFmtId="0" fontId="14" fillId="3" borderId="27" xfId="0" applyFont="1" applyFill="1" applyBorder="1" applyAlignment="1">
      <alignment horizontal="center" vertical="center"/>
    </xf>
    <xf numFmtId="0" fontId="0" fillId="0" borderId="0" xfId="0" applyAlignment="1">
      <alignment horizontal="center" vertical="center"/>
    </xf>
    <xf numFmtId="1" fontId="7" fillId="0" borderId="0" xfId="0" applyNumberFormat="1" applyFont="1" applyAlignment="1">
      <alignment horizontal="center" vertical="center"/>
    </xf>
    <xf numFmtId="0" fontId="9" fillId="0" borderId="0" xfId="0" applyFont="1" applyAlignment="1">
      <alignment horizontal="center" vertical="center"/>
    </xf>
    <xf numFmtId="1" fontId="0" fillId="0" borderId="0" xfId="0" applyNumberFormat="1" applyAlignment="1">
      <alignment horizontal="center" vertical="center"/>
    </xf>
    <xf numFmtId="0" fontId="0" fillId="3" borderId="43" xfId="0" applyFill="1" applyBorder="1" applyAlignment="1">
      <alignment horizontal="center" vertical="center"/>
    </xf>
    <xf numFmtId="9" fontId="0" fillId="3" borderId="44" xfId="0" applyNumberFormat="1" applyFill="1" applyBorder="1" applyAlignment="1">
      <alignment horizontal="center" vertical="center"/>
    </xf>
    <xf numFmtId="0" fontId="0" fillId="3" borderId="0" xfId="0" applyFill="1" applyAlignment="1">
      <alignment horizontal="center" vertical="center"/>
    </xf>
    <xf numFmtId="9" fontId="0" fillId="0" borderId="51" xfId="0" applyNumberFormat="1" applyBorder="1" applyAlignment="1" applyProtection="1">
      <alignment horizontal="center" vertical="center" wrapText="1"/>
      <protection locked="0"/>
    </xf>
    <xf numFmtId="9" fontId="0" fillId="0" borderId="52" xfId="0" applyNumberFormat="1" applyBorder="1" applyAlignment="1" applyProtection="1">
      <alignment horizontal="center" vertical="center" wrapText="1"/>
      <protection locked="0"/>
    </xf>
    <xf numFmtId="1" fontId="0" fillId="0" borderId="52" xfId="0" applyNumberFormat="1" applyBorder="1" applyAlignment="1" applyProtection="1">
      <alignment horizontal="center" vertical="center" wrapText="1"/>
      <protection locked="0"/>
    </xf>
    <xf numFmtId="9" fontId="0" fillId="7" borderId="52" xfId="0" applyNumberFormat="1" applyFill="1" applyBorder="1" applyAlignment="1">
      <alignment horizontal="center" vertical="center" wrapText="1"/>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52" xfId="0" applyFill="1" applyBorder="1" applyAlignment="1">
      <alignment horizontal="center" vertical="center" wrapText="1"/>
    </xf>
    <xf numFmtId="0" fontId="0" fillId="3" borderId="51" xfId="0" applyFill="1" applyBorder="1" applyAlignment="1">
      <alignment horizontal="center" vertical="center" wrapText="1"/>
    </xf>
    <xf numFmtId="9" fontId="0" fillId="0" borderId="82" xfId="0" applyNumberFormat="1" applyBorder="1" applyAlignment="1" applyProtection="1">
      <alignment horizontal="center" vertical="center" wrapText="1"/>
      <protection locked="0"/>
    </xf>
    <xf numFmtId="9" fontId="0" fillId="0" borderId="83" xfId="0" applyNumberFormat="1" applyBorder="1" applyAlignment="1" applyProtection="1">
      <alignment horizontal="center" vertical="center" wrapText="1"/>
      <protection locked="0"/>
    </xf>
    <xf numFmtId="0" fontId="0" fillId="3" borderId="83" xfId="0" applyFill="1" applyBorder="1" applyAlignment="1">
      <alignment horizontal="center" vertical="center"/>
    </xf>
    <xf numFmtId="0" fontId="0" fillId="3" borderId="82" xfId="0" applyFill="1" applyBorder="1" applyAlignment="1">
      <alignment horizontal="center" vertical="center"/>
    </xf>
    <xf numFmtId="0" fontId="0" fillId="3" borderId="82" xfId="0" applyFill="1" applyBorder="1" applyAlignment="1">
      <alignment horizontal="center" vertical="center" wrapText="1"/>
    </xf>
    <xf numFmtId="0" fontId="6" fillId="3" borderId="145" xfId="0" applyFont="1" applyFill="1" applyBorder="1"/>
    <xf numFmtId="0" fontId="17" fillId="16" borderId="144" xfId="0" applyFont="1" applyFill="1" applyBorder="1" applyAlignment="1">
      <alignment horizontal="right" vertical="center" indent="1"/>
    </xf>
    <xf numFmtId="0" fontId="4" fillId="0" borderId="146" xfId="1" applyBorder="1" applyAlignment="1" applyProtection="1">
      <alignment horizontal="left" vertical="center" wrapText="1" indent="1"/>
    </xf>
    <xf numFmtId="0" fontId="2" fillId="0" borderId="56" xfId="0" applyFont="1" applyBorder="1" applyAlignment="1">
      <alignment horizontal="left" vertical="center" wrapText="1" indent="1"/>
    </xf>
    <xf numFmtId="0" fontId="4" fillId="0" borderId="147" xfId="1" applyBorder="1" applyAlignment="1" applyProtection="1">
      <alignment horizontal="left" vertical="center" wrapText="1" indent="1"/>
    </xf>
    <xf numFmtId="0" fontId="0" fillId="3" borderId="148" xfId="0" applyFill="1" applyBorder="1" applyAlignment="1">
      <alignment horizontal="center" vertical="center"/>
    </xf>
    <xf numFmtId="0" fontId="14" fillId="21" borderId="0" xfId="0" applyFont="1" applyFill="1"/>
    <xf numFmtId="0" fontId="3" fillId="0" borderId="0" xfId="0" applyFont="1" applyAlignment="1">
      <alignment horizontal="center" vertical="center"/>
    </xf>
    <xf numFmtId="0" fontId="2" fillId="0" borderId="0" xfId="0" applyFont="1" applyAlignment="1">
      <alignment horizontal="left" vertical="center" indent="1"/>
    </xf>
    <xf numFmtId="9" fontId="0" fillId="0" borderId="153" xfId="0" applyNumberFormat="1" applyBorder="1" applyAlignment="1" applyProtection="1">
      <alignment horizontal="center" vertical="center" wrapText="1"/>
      <protection locked="0"/>
    </xf>
    <xf numFmtId="0" fontId="0" fillId="3" borderId="154" xfId="0" applyFill="1" applyBorder="1" applyAlignment="1">
      <alignment horizontal="center" vertical="center"/>
    </xf>
    <xf numFmtId="0" fontId="14" fillId="0" borderId="0" xfId="0" applyFont="1" applyAlignment="1">
      <alignment vertical="center"/>
    </xf>
    <xf numFmtId="49" fontId="41" fillId="0" borderId="68" xfId="0" applyNumberFormat="1" applyFont="1" applyBorder="1" applyAlignment="1" applyProtection="1">
      <alignment wrapText="1"/>
      <protection locked="0"/>
    </xf>
    <xf numFmtId="49" fontId="41" fillId="0" borderId="68" xfId="0" applyNumberFormat="1" applyFont="1" applyBorder="1" applyAlignment="1" applyProtection="1">
      <alignment horizontal="left"/>
      <protection locked="0"/>
    </xf>
    <xf numFmtId="0" fontId="14" fillId="2" borderId="0" xfId="0" applyFont="1" applyFill="1" applyAlignment="1">
      <alignment horizontal="center"/>
    </xf>
    <xf numFmtId="0" fontId="14" fillId="2" borderId="0" xfId="0" applyFont="1" applyFill="1" applyAlignment="1">
      <alignment horizontal="right"/>
    </xf>
    <xf numFmtId="0" fontId="17" fillId="9" borderId="22" xfId="0" applyFont="1" applyFill="1" applyBorder="1" applyAlignment="1">
      <alignment horizontal="center" vertical="center"/>
    </xf>
    <xf numFmtId="0" fontId="15" fillId="0" borderId="50" xfId="0" applyFont="1" applyBorder="1" applyAlignment="1">
      <alignment horizontal="left" vertical="center" wrapText="1" indent="1"/>
    </xf>
    <xf numFmtId="0" fontId="7" fillId="0" borderId="93" xfId="0" applyFont="1" applyBorder="1" applyAlignment="1">
      <alignment horizontal="left" vertical="center" wrapText="1" indent="1"/>
    </xf>
    <xf numFmtId="0" fontId="12" fillId="0" borderId="93" xfId="0" applyFont="1" applyBorder="1" applyAlignment="1">
      <alignment horizontal="left" vertical="center" wrapText="1" indent="1"/>
    </xf>
    <xf numFmtId="0" fontId="7" fillId="0" borderId="155" xfId="0" applyFont="1" applyBorder="1" applyAlignment="1">
      <alignment horizontal="left" vertical="center" wrapText="1" indent="1"/>
    </xf>
    <xf numFmtId="0" fontId="12" fillId="0" borderId="81" xfId="0" applyFont="1" applyBorder="1" applyAlignment="1">
      <alignment horizontal="left" vertical="center" wrapText="1" indent="1"/>
    </xf>
    <xf numFmtId="0" fontId="7" fillId="3" borderId="82" xfId="0" applyFont="1" applyFill="1" applyBorder="1" applyAlignment="1">
      <alignment horizontal="center" vertical="center"/>
    </xf>
    <xf numFmtId="9" fontId="7" fillId="0" borderId="83" xfId="0" applyNumberFormat="1" applyFont="1" applyBorder="1" applyAlignment="1" applyProtection="1">
      <alignment horizontal="center" vertical="center" wrapText="1"/>
      <protection locked="0"/>
    </xf>
    <xf numFmtId="0" fontId="7" fillId="0" borderId="84" xfId="0" applyFont="1" applyBorder="1" applyAlignment="1">
      <alignment horizontal="left" vertical="center" indent="1"/>
    </xf>
    <xf numFmtId="9" fontId="7" fillId="16" borderId="85" xfId="0" applyNumberFormat="1" applyFont="1" applyFill="1" applyBorder="1" applyAlignment="1">
      <alignment horizontal="center" vertical="center"/>
    </xf>
    <xf numFmtId="9" fontId="7" fillId="16" borderId="86" xfId="0" applyNumberFormat="1"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horizontal="center" vertical="center"/>
    </xf>
    <xf numFmtId="9" fontId="7" fillId="0" borderId="82" xfId="0" applyNumberFormat="1" applyFont="1" applyBorder="1" applyAlignment="1" applyProtection="1">
      <alignment horizontal="center" vertical="center" wrapText="1"/>
      <protection locked="0"/>
    </xf>
    <xf numFmtId="0" fontId="7" fillId="3" borderId="83" xfId="0" applyFont="1" applyFill="1" applyBorder="1" applyAlignment="1">
      <alignment horizontal="center" vertical="center"/>
    </xf>
    <xf numFmtId="0" fontId="45" fillId="0" borderId="87" xfId="1" applyFont="1" applyBorder="1" applyAlignment="1" applyProtection="1">
      <alignment horizontal="left" vertical="center" indent="1"/>
    </xf>
    <xf numFmtId="9" fontId="7" fillId="16" borderId="83" xfId="0" applyNumberFormat="1" applyFont="1" applyFill="1" applyBorder="1" applyAlignment="1">
      <alignment horizontal="center" vertical="center" wrapText="1"/>
    </xf>
    <xf numFmtId="9" fontId="7" fillId="16" borderId="82" xfId="0" applyNumberFormat="1" applyFont="1" applyFill="1" applyBorder="1" applyAlignment="1">
      <alignment horizontal="center" vertical="center" wrapText="1"/>
    </xf>
    <xf numFmtId="0" fontId="3" fillId="10" borderId="0" xfId="0" applyFont="1" applyFill="1" applyAlignment="1">
      <alignment horizontal="center" vertical="center"/>
    </xf>
    <xf numFmtId="0" fontId="0" fillId="10" borderId="0" xfId="0" applyFill="1"/>
    <xf numFmtId="0" fontId="0" fillId="3" borderId="156" xfId="0" applyFill="1" applyBorder="1" applyAlignment="1">
      <alignment horizontal="center" vertical="center"/>
    </xf>
    <xf numFmtId="0" fontId="0" fillId="3" borderId="0" xfId="0" applyFill="1"/>
    <xf numFmtId="1" fontId="14" fillId="0" borderId="0" xfId="0" applyNumberFormat="1" applyFont="1" applyAlignment="1">
      <alignment horizontal="center"/>
    </xf>
    <xf numFmtId="0" fontId="8" fillId="8" borderId="0" xfId="0" applyFont="1" applyFill="1" applyAlignment="1">
      <alignment horizontal="center" vertical="center" wrapText="1"/>
    </xf>
    <xf numFmtId="2" fontId="14" fillId="0" borderId="0" xfId="0" applyNumberFormat="1" applyFont="1" applyAlignment="1">
      <alignment horizontal="center"/>
    </xf>
    <xf numFmtId="2" fontId="3" fillId="0" borderId="0" xfId="0" applyNumberFormat="1" applyFont="1" applyAlignment="1">
      <alignment horizontal="center"/>
    </xf>
    <xf numFmtId="1" fontId="3" fillId="0" borderId="0" xfId="0" applyNumberFormat="1" applyFont="1" applyAlignment="1">
      <alignment horizontal="center"/>
    </xf>
    <xf numFmtId="164" fontId="14" fillId="0" borderId="0" xfId="0" applyNumberFormat="1" applyFont="1" applyAlignment="1">
      <alignment horizontal="center"/>
    </xf>
    <xf numFmtId="0" fontId="14" fillId="0" borderId="41" xfId="0" applyFont="1" applyBorder="1" applyAlignment="1">
      <alignment horizontal="left" wrapText="1" indent="1"/>
    </xf>
    <xf numFmtId="9" fontId="0" fillId="16" borderId="51" xfId="0" applyNumberFormat="1" applyFill="1" applyBorder="1" applyAlignment="1">
      <alignment horizontal="center" vertical="center" wrapText="1"/>
    </xf>
    <xf numFmtId="0" fontId="7" fillId="0" borderId="0" xfId="1" applyNumberFormat="1" applyFont="1"/>
    <xf numFmtId="0" fontId="17" fillId="0" borderId="21" xfId="0" applyFont="1" applyBorder="1" applyAlignment="1">
      <alignment horizontal="left" vertical="center" wrapText="1" indent="1"/>
    </xf>
    <xf numFmtId="49" fontId="41" fillId="0" borderId="75" xfId="0" applyNumberFormat="1" applyFont="1" applyBorder="1" applyAlignment="1" applyProtection="1">
      <alignment horizontal="left" vertical="center"/>
      <protection locked="0"/>
    </xf>
    <xf numFmtId="0" fontId="0" fillId="16" borderId="82" xfId="0" applyFill="1" applyBorder="1" applyAlignment="1">
      <alignment horizontal="center" vertical="center" wrapText="1"/>
    </xf>
    <xf numFmtId="9" fontId="0" fillId="0" borderId="0" xfId="0" applyNumberFormat="1" applyAlignment="1">
      <alignment horizontal="center" vertical="center"/>
    </xf>
    <xf numFmtId="0" fontId="7" fillId="16" borderId="82" xfId="0" applyFont="1" applyFill="1" applyBorder="1" applyAlignment="1">
      <alignment horizontal="center" vertical="center" wrapText="1"/>
    </xf>
    <xf numFmtId="0" fontId="7" fillId="3" borderId="148" xfId="0" applyFont="1" applyFill="1" applyBorder="1" applyAlignment="1">
      <alignment horizontal="center" vertical="center"/>
    </xf>
    <xf numFmtId="0" fontId="7" fillId="16" borderId="83" xfId="0" applyFont="1" applyFill="1" applyBorder="1" applyAlignment="1">
      <alignment horizontal="center" vertical="center" wrapText="1"/>
    </xf>
    <xf numFmtId="164" fontId="41" fillId="0" borderId="68" xfId="0" applyNumberFormat="1" applyFont="1" applyBorder="1" applyProtection="1">
      <protection locked="0"/>
    </xf>
    <xf numFmtId="9" fontId="14" fillId="0" borderId="0" xfId="0" applyNumberFormat="1" applyFont="1" applyAlignment="1">
      <alignment horizontal="center"/>
    </xf>
    <xf numFmtId="9" fontId="0" fillId="7" borderId="42" xfId="0" applyNumberFormat="1" applyFill="1" applyBorder="1" applyAlignment="1">
      <alignment horizontal="center" vertical="center"/>
    </xf>
    <xf numFmtId="0" fontId="0" fillId="0" borderId="100" xfId="0" applyBorder="1" applyAlignment="1">
      <alignment horizontal="left" vertical="center" indent="1"/>
    </xf>
    <xf numFmtId="0" fontId="7" fillId="0" borderId="119" xfId="1" applyFont="1" applyBorder="1" applyAlignment="1" applyProtection="1">
      <alignment horizontal="left" vertical="center" indent="1"/>
    </xf>
    <xf numFmtId="0" fontId="0" fillId="3" borderId="158" xfId="0" applyFill="1" applyBorder="1" applyAlignment="1">
      <alignment horizontal="center" vertical="center"/>
    </xf>
    <xf numFmtId="0" fontId="0" fillId="3" borderId="160" xfId="0" applyFill="1" applyBorder="1" applyAlignment="1">
      <alignment horizontal="center" vertical="center"/>
    </xf>
    <xf numFmtId="0" fontId="0" fillId="3" borderId="159" xfId="0" applyFill="1" applyBorder="1" applyAlignment="1">
      <alignment horizontal="center" vertical="center"/>
    </xf>
    <xf numFmtId="0" fontId="0" fillId="16" borderId="0" xfId="0" applyFill="1"/>
    <xf numFmtId="1" fontId="14" fillId="0" borderId="0" xfId="0" applyNumberFormat="1" applyFont="1" applyAlignment="1">
      <alignment horizontal="center" vertical="center"/>
    </xf>
    <xf numFmtId="49" fontId="41" fillId="0" borderId="68" xfId="0" applyNumberFormat="1" applyFont="1" applyBorder="1" applyAlignment="1" applyProtection="1">
      <alignment vertical="center"/>
      <protection locked="0"/>
    </xf>
    <xf numFmtId="9" fontId="7" fillId="7" borderId="42" xfId="0" applyNumberFormat="1" applyFont="1" applyFill="1" applyBorder="1" applyAlignment="1">
      <alignment horizontal="center" vertical="center" wrapText="1"/>
    </xf>
    <xf numFmtId="2" fontId="14" fillId="0" borderId="0" xfId="0" applyNumberFormat="1" applyFont="1" applyAlignment="1">
      <alignment vertical="center"/>
    </xf>
    <xf numFmtId="0" fontId="0" fillId="0" borderId="119" xfId="0" applyBorder="1" applyAlignment="1">
      <alignment horizontal="left" vertical="center" wrapText="1" indent="1"/>
    </xf>
    <xf numFmtId="0" fontId="7" fillId="3" borderId="160" xfId="0" applyFont="1" applyFill="1" applyBorder="1" applyAlignment="1">
      <alignment horizontal="center" vertical="center"/>
    </xf>
    <xf numFmtId="164" fontId="3" fillId="0" borderId="0" xfId="0" applyNumberFormat="1" applyFont="1" applyAlignment="1">
      <alignment horizontal="right"/>
    </xf>
    <xf numFmtId="164" fontId="12" fillId="0" borderId="0" xfId="0" applyNumberFormat="1" applyFont="1" applyAlignment="1">
      <alignment horizontal="right"/>
    </xf>
    <xf numFmtId="0" fontId="47" fillId="0" borderId="135" xfId="0" applyFont="1" applyBorder="1" applyAlignment="1" applyProtection="1">
      <alignment horizontal="right" vertical="center" indent="1"/>
      <protection locked="0"/>
    </xf>
    <xf numFmtId="9" fontId="0" fillId="23" borderId="161" xfId="0" applyNumberFormat="1" applyFill="1" applyBorder="1" applyAlignment="1">
      <alignment horizontal="center" vertical="center"/>
    </xf>
    <xf numFmtId="9" fontId="7" fillId="23" borderId="162" xfId="0" applyNumberFormat="1" applyFont="1" applyFill="1" applyBorder="1" applyAlignment="1">
      <alignment horizontal="center" vertical="center" wrapText="1"/>
    </xf>
    <xf numFmtId="9" fontId="0" fillId="6" borderId="101" xfId="0" applyNumberFormat="1" applyFill="1" applyBorder="1" applyAlignment="1">
      <alignment horizontal="center" vertical="center"/>
    </xf>
    <xf numFmtId="9" fontId="0" fillId="6" borderId="102" xfId="0" applyNumberFormat="1" applyFill="1" applyBorder="1" applyAlignment="1">
      <alignment horizontal="center" vertical="center"/>
    </xf>
    <xf numFmtId="0" fontId="48" fillId="0" borderId="115" xfId="0" applyFont="1" applyBorder="1" applyAlignment="1">
      <alignment horizontal="center" vertical="center" wrapText="1"/>
    </xf>
    <xf numFmtId="0" fontId="0" fillId="22" borderId="149" xfId="0" applyFill="1" applyBorder="1" applyAlignment="1">
      <alignment horizontal="right" vertical="center"/>
    </xf>
    <xf numFmtId="0" fontId="0" fillId="22" borderId="149" xfId="0" applyFill="1" applyBorder="1" applyAlignment="1">
      <alignment vertical="center"/>
    </xf>
    <xf numFmtId="0" fontId="0" fillId="22" borderId="149" xfId="0" applyFill="1" applyBorder="1" applyAlignment="1">
      <alignment horizontal="center" vertical="center"/>
    </xf>
    <xf numFmtId="2" fontId="14" fillId="22" borderId="149" xfId="0" applyNumberFormat="1" applyFont="1" applyFill="1" applyBorder="1" applyAlignment="1">
      <alignment horizontal="center" vertical="center"/>
    </xf>
    <xf numFmtId="0" fontId="43" fillId="0" borderId="0" xfId="0" applyFont="1" applyAlignment="1">
      <alignment vertical="center"/>
    </xf>
    <xf numFmtId="0" fontId="44" fillId="0" borderId="0" xfId="0" applyFont="1" applyAlignment="1">
      <alignment vertical="center"/>
    </xf>
    <xf numFmtId="1" fontId="0" fillId="0" borderId="156" xfId="0" applyNumberFormat="1" applyBorder="1" applyProtection="1">
      <protection locked="0"/>
    </xf>
    <xf numFmtId="0" fontId="14" fillId="2" borderId="156" xfId="0" applyFont="1" applyFill="1" applyBorder="1" applyAlignment="1" applyProtection="1">
      <alignment horizontal="left"/>
      <protection locked="0"/>
    </xf>
    <xf numFmtId="0" fontId="22" fillId="0" borderId="166" xfId="0" applyFont="1" applyBorder="1" applyAlignment="1">
      <alignment horizontal="left" vertical="center" wrapText="1" indent="1"/>
    </xf>
    <xf numFmtId="0" fontId="29" fillId="0" borderId="163" xfId="0" applyFont="1" applyBorder="1" applyAlignment="1">
      <alignment horizontal="left" vertical="center" indent="1"/>
    </xf>
    <xf numFmtId="0" fontId="17" fillId="3" borderId="167" xfId="0" applyFont="1" applyFill="1" applyBorder="1"/>
    <xf numFmtId="0" fontId="17" fillId="3" borderId="168" xfId="0" applyFont="1" applyFill="1" applyBorder="1"/>
    <xf numFmtId="0" fontId="17" fillId="3" borderId="23" xfId="0" applyFont="1" applyFill="1" applyBorder="1"/>
    <xf numFmtId="0" fontId="17" fillId="3" borderId="169" xfId="0" applyFont="1" applyFill="1" applyBorder="1"/>
    <xf numFmtId="0" fontId="49" fillId="0" borderId="81" xfId="0" applyFont="1" applyBorder="1" applyAlignment="1">
      <alignment horizontal="left" vertical="center" wrapText="1" indent="1"/>
    </xf>
    <xf numFmtId="0" fontId="12" fillId="0" borderId="116" xfId="1" applyFont="1" applyBorder="1" applyAlignment="1" applyProtection="1">
      <alignment horizontal="left" vertical="center" indent="1"/>
    </xf>
    <xf numFmtId="1" fontId="14" fillId="0" borderId="0" xfId="0" applyNumberFormat="1" applyFont="1" applyAlignment="1">
      <alignment vertical="center"/>
    </xf>
    <xf numFmtId="0" fontId="0" fillId="10" borderId="0" xfId="0" applyFill="1" applyAlignment="1">
      <alignment vertical="center"/>
    </xf>
    <xf numFmtId="0" fontId="7" fillId="0" borderId="117" xfId="0" applyFont="1" applyBorder="1" applyAlignment="1">
      <alignment horizontal="left" vertical="center" wrapText="1" indent="1"/>
    </xf>
    <xf numFmtId="0" fontId="0" fillId="0" borderId="0" xfId="0" applyAlignment="1">
      <alignment horizontal="left" wrapText="1" indent="1"/>
    </xf>
    <xf numFmtId="0" fontId="21" fillId="14" borderId="1" xfId="0" applyFont="1" applyFill="1" applyBorder="1" applyAlignment="1">
      <alignment horizontal="left" vertical="center" wrapText="1" indent="1"/>
    </xf>
    <xf numFmtId="49" fontId="41" fillId="0" borderId="12" xfId="0" applyNumberFormat="1" applyFont="1" applyBorder="1" applyAlignment="1" applyProtection="1">
      <alignment horizontal="left" vertical="center" wrapText="1" indent="1"/>
      <protection locked="0"/>
    </xf>
    <xf numFmtId="49" fontId="31" fillId="2" borderId="141" xfId="0" applyNumberFormat="1" applyFont="1" applyFill="1" applyBorder="1" applyAlignment="1" applyProtection="1">
      <alignment horizontal="left" vertical="center" wrapText="1" indent="1"/>
      <protection locked="0"/>
    </xf>
    <xf numFmtId="49" fontId="42" fillId="0" borderId="12" xfId="0" applyNumberFormat="1" applyFont="1" applyBorder="1" applyAlignment="1" applyProtection="1">
      <alignment horizontal="left" vertical="center" wrapText="1" indent="1"/>
      <protection locked="0"/>
    </xf>
    <xf numFmtId="49" fontId="41" fillId="0" borderId="70" xfId="0" applyNumberFormat="1" applyFont="1" applyBorder="1" applyAlignment="1" applyProtection="1">
      <alignment horizontal="left" vertical="center" wrapText="1" indent="1"/>
      <protection locked="0"/>
    </xf>
    <xf numFmtId="49" fontId="31" fillId="0" borderId="141" xfId="0" applyNumberFormat="1" applyFont="1" applyBorder="1" applyAlignment="1" applyProtection="1">
      <alignment horizontal="left" vertical="center" wrapText="1" indent="1"/>
      <protection locked="0"/>
    </xf>
    <xf numFmtId="49" fontId="41" fillId="0" borderId="12" xfId="0" applyNumberFormat="1" applyFont="1" applyBorder="1" applyAlignment="1" applyProtection="1">
      <alignment horizontal="left" wrapText="1" indent="1"/>
      <protection locked="0"/>
    </xf>
    <xf numFmtId="49" fontId="14" fillId="0" borderId="141" xfId="0" applyNumberFormat="1" applyFont="1" applyBorder="1" applyAlignment="1" applyProtection="1">
      <alignment horizontal="left" vertical="center" wrapText="1" indent="1"/>
      <protection locked="0"/>
    </xf>
    <xf numFmtId="0" fontId="0" fillId="0" borderId="172" xfId="0" applyBorder="1" applyAlignment="1">
      <alignment horizontal="left" vertical="center" wrapText="1" indent="1"/>
    </xf>
    <xf numFmtId="0" fontId="0" fillId="3" borderId="64" xfId="0" applyFill="1" applyBorder="1" applyAlignment="1">
      <alignment horizontal="center" vertical="center" wrapText="1"/>
    </xf>
    <xf numFmtId="0" fontId="0" fillId="0" borderId="51" xfId="0" applyBorder="1" applyAlignment="1" applyProtection="1">
      <alignment horizontal="center" vertical="center" wrapText="1"/>
      <protection locked="0"/>
    </xf>
    <xf numFmtId="0" fontId="52" fillId="0" borderId="173" xfId="0" applyFont="1" applyBorder="1" applyAlignment="1">
      <alignment horizontal="center" vertical="center" wrapText="1"/>
    </xf>
    <xf numFmtId="0" fontId="7" fillId="0" borderId="56" xfId="1" applyFont="1" applyBorder="1" applyAlignment="1" applyProtection="1">
      <alignment horizontal="left" vertical="center" wrapText="1" indent="1"/>
    </xf>
    <xf numFmtId="0" fontId="7" fillId="3" borderId="174" xfId="0" applyFont="1" applyFill="1" applyBorder="1" applyAlignment="1">
      <alignment horizontal="center" vertical="center"/>
    </xf>
    <xf numFmtId="0" fontId="19" fillId="19" borderId="175" xfId="0" applyFont="1" applyFill="1" applyBorder="1"/>
    <xf numFmtId="0" fontId="53" fillId="0" borderId="0" xfId="0" applyFont="1"/>
    <xf numFmtId="1" fontId="53" fillId="0" borderId="0" xfId="0" applyNumberFormat="1" applyFont="1" applyAlignment="1">
      <alignment horizontal="center"/>
    </xf>
    <xf numFmtId="0" fontId="53" fillId="0" borderId="0" xfId="0" applyFont="1" applyAlignment="1">
      <alignment horizontal="left"/>
    </xf>
    <xf numFmtId="0" fontId="53" fillId="0" borderId="0" xfId="0" applyFont="1" applyAlignment="1">
      <alignment horizontal="left" vertical="center"/>
    </xf>
    <xf numFmtId="1" fontId="53" fillId="0" borderId="0" xfId="0" applyNumberFormat="1" applyFont="1" applyAlignment="1">
      <alignment horizontal="center" vertical="center"/>
    </xf>
    <xf numFmtId="0" fontId="53" fillId="0" borderId="0" xfId="0" applyFont="1" applyAlignment="1">
      <alignment vertical="center"/>
    </xf>
    <xf numFmtId="49" fontId="14" fillId="0" borderId="68" xfId="0" applyNumberFormat="1" applyFont="1" applyBorder="1" applyAlignment="1" applyProtection="1">
      <alignment horizontal="center" vertical="center"/>
      <protection locked="0"/>
    </xf>
    <xf numFmtId="49" fontId="41" fillId="0" borderId="68" xfId="0" applyNumberFormat="1" applyFont="1" applyBorder="1" applyAlignment="1" applyProtection="1">
      <alignment vertical="center" wrapText="1"/>
      <protection locked="0"/>
    </xf>
    <xf numFmtId="49" fontId="41" fillId="0" borderId="77" xfId="0" applyNumberFormat="1" applyFont="1" applyBorder="1" applyAlignment="1" applyProtection="1">
      <alignment horizontal="left" vertical="center"/>
      <protection locked="0"/>
    </xf>
    <xf numFmtId="49" fontId="41" fillId="0" borderId="75" xfId="0" applyNumberFormat="1" applyFont="1" applyBorder="1" applyAlignment="1" applyProtection="1">
      <alignment horizontal="left" vertical="center" wrapText="1"/>
      <protection locked="0"/>
    </xf>
    <xf numFmtId="49" fontId="41" fillId="0" borderId="76" xfId="0" applyNumberFormat="1" applyFont="1" applyBorder="1" applyAlignment="1" applyProtection="1">
      <alignment horizontal="left" vertical="center"/>
      <protection locked="0"/>
    </xf>
    <xf numFmtId="0" fontId="12" fillId="0" borderId="34" xfId="0" applyFont="1" applyBorder="1" applyAlignment="1">
      <alignment horizontal="left" vertical="center" wrapText="1" indent="1"/>
    </xf>
    <xf numFmtId="0" fontId="7" fillId="0" borderId="34" xfId="0" applyFont="1" applyBorder="1" applyAlignment="1">
      <alignment horizontal="left" vertical="center" wrapText="1" indent="1"/>
    </xf>
    <xf numFmtId="0" fontId="7" fillId="0" borderId="34" xfId="0" applyFont="1" applyBorder="1" applyAlignment="1">
      <alignment horizontal="left" vertical="center" indent="1"/>
    </xf>
    <xf numFmtId="0" fontId="0" fillId="0" borderId="176" xfId="0" applyBorder="1" applyAlignment="1">
      <alignment horizontal="center" vertical="center"/>
    </xf>
    <xf numFmtId="0" fontId="0" fillId="0" borderId="156" xfId="0" applyBorder="1" applyAlignment="1">
      <alignment horizontal="center" vertical="center"/>
    </xf>
    <xf numFmtId="0" fontId="7" fillId="0" borderId="87" xfId="1" applyFont="1" applyBorder="1" applyAlignment="1" applyProtection="1">
      <alignment horizontal="left" vertical="center" indent="1"/>
    </xf>
    <xf numFmtId="0" fontId="7" fillId="0" borderId="87" xfId="1" applyFont="1" applyBorder="1" applyAlignment="1" applyProtection="1">
      <alignment horizontal="left" vertical="center" wrapText="1" indent="1"/>
    </xf>
    <xf numFmtId="0" fontId="12" fillId="0" borderId="87" xfId="1" applyFont="1" applyBorder="1" applyAlignment="1" applyProtection="1">
      <alignment horizontal="left" vertical="center" wrapText="1" indent="1"/>
    </xf>
    <xf numFmtId="0" fontId="7" fillId="0" borderId="0" xfId="0" applyFont="1" applyAlignment="1">
      <alignment horizontal="left" vertical="center" wrapText="1" indent="1"/>
    </xf>
    <xf numFmtId="0" fontId="7" fillId="3" borderId="177" xfId="0" applyFont="1" applyFill="1" applyBorder="1" applyAlignment="1">
      <alignment horizontal="center" vertical="center"/>
    </xf>
    <xf numFmtId="9" fontId="0" fillId="16" borderId="82" xfId="0" applyNumberFormat="1" applyFill="1" applyBorder="1" applyAlignment="1">
      <alignment horizontal="center" vertical="center" wrapText="1"/>
    </xf>
    <xf numFmtId="49" fontId="31" fillId="0" borderId="12" xfId="0" applyNumberFormat="1" applyFont="1" applyBorder="1" applyAlignment="1" applyProtection="1">
      <alignment horizontal="left" vertical="center" wrapText="1" indent="1"/>
      <protection locked="0"/>
    </xf>
    <xf numFmtId="0" fontId="17" fillId="11" borderId="127" xfId="0" applyFont="1" applyFill="1" applyBorder="1" applyAlignment="1">
      <alignment horizontal="right" vertical="center" indent="1"/>
    </xf>
    <xf numFmtId="0" fontId="17" fillId="11" borderId="179" xfId="0" applyFont="1" applyFill="1" applyBorder="1" applyAlignment="1">
      <alignment horizontal="right" vertical="center" indent="1"/>
    </xf>
    <xf numFmtId="0" fontId="17" fillId="11" borderId="178" xfId="0" applyFont="1" applyFill="1" applyBorder="1" applyAlignment="1">
      <alignment horizontal="right" vertical="center" indent="1"/>
    </xf>
    <xf numFmtId="0" fontId="17" fillId="11" borderId="122" xfId="0" applyFont="1" applyFill="1" applyBorder="1" applyAlignment="1">
      <alignment horizontal="left" vertical="center" indent="1"/>
    </xf>
    <xf numFmtId="0" fontId="17" fillId="11" borderId="11" xfId="0" applyFont="1" applyFill="1" applyBorder="1" applyAlignment="1">
      <alignment horizontal="left" vertical="center" indent="1"/>
    </xf>
    <xf numFmtId="49" fontId="50" fillId="0" borderId="12" xfId="0" applyNumberFormat="1" applyFont="1" applyBorder="1" applyAlignment="1">
      <alignment horizontal="left" vertical="center" wrapText="1" indent="1"/>
    </xf>
    <xf numFmtId="0" fontId="0" fillId="0" borderId="180" xfId="0" applyBorder="1" applyAlignment="1" applyProtection="1">
      <alignment horizontal="left" wrapText="1" indent="1"/>
      <protection locked="0"/>
    </xf>
    <xf numFmtId="49" fontId="14" fillId="0" borderId="20" xfId="0" applyNumberFormat="1" applyFont="1" applyBorder="1" applyAlignment="1">
      <alignment horizontal="left" vertical="center" wrapText="1" indent="1"/>
    </xf>
    <xf numFmtId="0" fontId="17" fillId="16" borderId="14" xfId="0" applyFont="1" applyFill="1" applyBorder="1" applyAlignment="1">
      <alignment horizontal="left" vertical="center" indent="1"/>
    </xf>
    <xf numFmtId="0" fontId="2" fillId="7" borderId="138" xfId="0" applyFont="1" applyFill="1" applyBorder="1" applyAlignment="1">
      <alignment horizontal="center" vertical="center"/>
    </xf>
    <xf numFmtId="1" fontId="0" fillId="0" borderId="136" xfId="0" applyNumberFormat="1" applyBorder="1"/>
    <xf numFmtId="9" fontId="8" fillId="0" borderId="0" xfId="0" applyNumberFormat="1" applyFont="1" applyAlignment="1">
      <alignment vertical="center"/>
    </xf>
    <xf numFmtId="9" fontId="14" fillId="0" borderId="0" xfId="0" applyNumberFormat="1" applyFont="1" applyAlignment="1">
      <alignment horizontal="right"/>
    </xf>
    <xf numFmtId="0" fontId="0" fillId="2" borderId="149" xfId="0" applyFill="1" applyBorder="1" applyAlignment="1" applyProtection="1">
      <alignment horizontal="center" vertical="center"/>
      <protection locked="0"/>
    </xf>
    <xf numFmtId="0" fontId="5" fillId="2" borderId="88" xfId="0" applyFont="1" applyFill="1" applyBorder="1" applyAlignment="1">
      <alignment horizontal="center" vertical="center"/>
    </xf>
    <xf numFmtId="0" fontId="55" fillId="2" borderId="89" xfId="0" applyFont="1" applyFill="1" applyBorder="1" applyAlignment="1">
      <alignment horizontal="center" vertical="center"/>
    </xf>
    <xf numFmtId="0" fontId="17" fillId="0" borderId="142" xfId="0" applyFont="1" applyBorder="1" applyAlignment="1" applyProtection="1">
      <alignment horizontal="right" vertical="center" indent="1"/>
      <protection locked="0"/>
    </xf>
    <xf numFmtId="0" fontId="29" fillId="0" borderId="124" xfId="0" applyFont="1" applyBorder="1" applyAlignment="1">
      <alignment horizontal="center" vertical="center" wrapText="1"/>
    </xf>
    <xf numFmtId="0" fontId="17" fillId="0" borderId="120" xfId="0" applyFont="1" applyBorder="1" applyAlignment="1">
      <alignment horizontal="right" indent="1"/>
    </xf>
    <xf numFmtId="9" fontId="0" fillId="0" borderId="174" xfId="0" applyNumberFormat="1" applyBorder="1" applyAlignment="1" applyProtection="1">
      <alignment horizontal="center" vertical="center" wrapText="1"/>
      <protection locked="0"/>
    </xf>
    <xf numFmtId="9" fontId="0" fillId="2" borderId="176" xfId="0" applyNumberFormat="1" applyFill="1" applyBorder="1" applyAlignment="1" applyProtection="1">
      <alignment horizontal="center" vertical="center" wrapText="1"/>
      <protection locked="0"/>
    </xf>
    <xf numFmtId="0" fontId="0" fillId="0" borderId="181" xfId="0" applyBorder="1"/>
    <xf numFmtId="0" fontId="0" fillId="0" borderId="0" xfId="0" applyAlignment="1">
      <alignment horizontal="left" vertical="top" wrapText="1"/>
    </xf>
    <xf numFmtId="0" fontId="0" fillId="0" borderId="183" xfId="0" applyBorder="1" applyAlignment="1">
      <alignment horizontal="left" vertical="top" wrapText="1"/>
    </xf>
    <xf numFmtId="0" fontId="12" fillId="0" borderId="185" xfId="0" applyFont="1" applyBorder="1" applyAlignment="1">
      <alignment horizontal="left" vertical="center" wrapText="1" indent="1"/>
    </xf>
    <xf numFmtId="0" fontId="0" fillId="3" borderId="176" xfId="0" applyFill="1" applyBorder="1" applyAlignment="1">
      <alignment horizontal="center" vertical="center"/>
    </xf>
    <xf numFmtId="0" fontId="0" fillId="24" borderId="188" xfId="0" applyFill="1" applyBorder="1" applyAlignment="1">
      <alignment horizontal="left" vertical="top" wrapText="1"/>
    </xf>
    <xf numFmtId="0" fontId="7" fillId="0" borderId="185" xfId="0" applyFont="1" applyBorder="1" applyAlignment="1">
      <alignment horizontal="left" vertical="center" wrapText="1" indent="1"/>
    </xf>
    <xf numFmtId="0" fontId="7" fillId="0" borderId="186" xfId="0" applyFont="1" applyBorder="1" applyAlignment="1">
      <alignment horizontal="left" vertical="center" wrapText="1" indent="1"/>
    </xf>
    <xf numFmtId="9" fontId="0" fillId="0" borderId="176" xfId="0" applyNumberFormat="1" applyBorder="1" applyAlignment="1" applyProtection="1">
      <alignment horizontal="center" vertical="center" wrapText="1"/>
      <protection locked="0"/>
    </xf>
    <xf numFmtId="9" fontId="0" fillId="0" borderId="187" xfId="0" applyNumberFormat="1" applyBorder="1" applyAlignment="1" applyProtection="1">
      <alignment horizontal="center" vertical="center" wrapText="1"/>
      <protection locked="0"/>
    </xf>
    <xf numFmtId="0" fontId="0" fillId="0" borderId="190" xfId="0" applyBorder="1" applyAlignment="1">
      <alignment horizontal="left" vertical="center" wrapText="1"/>
    </xf>
    <xf numFmtId="0" fontId="0" fillId="0" borderId="189" xfId="0" applyBorder="1" applyAlignment="1">
      <alignment horizontal="left" vertical="center" wrapText="1"/>
    </xf>
    <xf numFmtId="9" fontId="0" fillId="0" borderId="191" xfId="0" applyNumberFormat="1" applyBorder="1" applyAlignment="1" applyProtection="1">
      <alignment horizontal="center" vertical="center" wrapText="1"/>
      <protection locked="0"/>
    </xf>
    <xf numFmtId="0" fontId="9" fillId="17" borderId="35" xfId="1" applyFont="1" applyFill="1" applyBorder="1" applyAlignment="1" applyProtection="1">
      <alignment horizontal="center" vertical="center"/>
      <protection locked="0"/>
    </xf>
    <xf numFmtId="0" fontId="9" fillId="13" borderId="52" xfId="1" applyFont="1" applyFill="1" applyBorder="1" applyAlignment="1" applyProtection="1">
      <alignment horizontal="center" vertical="center"/>
      <protection locked="0"/>
    </xf>
    <xf numFmtId="49" fontId="57" fillId="0" borderId="75" xfId="0" applyNumberFormat="1" applyFont="1" applyBorder="1" applyAlignment="1" applyProtection="1">
      <alignment horizontal="left" vertical="center"/>
      <protection locked="0"/>
    </xf>
    <xf numFmtId="0" fontId="9" fillId="18" borderId="82" xfId="1" applyFont="1" applyFill="1" applyBorder="1" applyAlignment="1" applyProtection="1">
      <alignment horizontal="center" vertical="center"/>
      <protection locked="0"/>
    </xf>
    <xf numFmtId="0" fontId="9" fillId="18" borderId="83" xfId="1" applyFont="1" applyFill="1" applyBorder="1" applyAlignment="1" applyProtection="1">
      <alignment horizontal="center" vertical="center"/>
      <protection locked="0"/>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xf>
    <xf numFmtId="0" fontId="8" fillId="12" borderId="2" xfId="0" applyFont="1" applyFill="1" applyBorder="1" applyAlignment="1">
      <alignment horizontal="center" vertical="center"/>
    </xf>
    <xf numFmtId="0" fontId="28" fillId="12" borderId="4" xfId="0" applyFont="1" applyFill="1" applyBorder="1" applyAlignment="1">
      <alignment horizontal="center" vertical="center"/>
    </xf>
    <xf numFmtId="0" fontId="28" fillId="12" borderId="3" xfId="0" applyFont="1" applyFill="1" applyBorder="1" applyAlignment="1">
      <alignment horizontal="center" vertical="center"/>
    </xf>
    <xf numFmtId="0" fontId="21" fillId="14" borderId="8" xfId="0" applyFont="1" applyFill="1" applyBorder="1" applyAlignment="1">
      <alignment horizontal="center" vertical="center"/>
    </xf>
    <xf numFmtId="0" fontId="21" fillId="14" borderId="9" xfId="0" applyFont="1" applyFill="1" applyBorder="1" applyAlignment="1">
      <alignment horizontal="center" vertical="center"/>
    </xf>
    <xf numFmtId="0" fontId="21" fillId="14" borderId="10" xfId="0" applyFont="1" applyFill="1" applyBorder="1" applyAlignment="1">
      <alignment horizontal="center" vertical="center"/>
    </xf>
    <xf numFmtId="0" fontId="17" fillId="0" borderId="129"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1" fillId="14" borderId="2" xfId="0" applyFont="1" applyFill="1" applyBorder="1" applyAlignment="1">
      <alignment horizontal="center" vertical="center"/>
    </xf>
    <xf numFmtId="0" fontId="21" fillId="14" borderId="4" xfId="0" applyFont="1" applyFill="1" applyBorder="1" applyAlignment="1">
      <alignment horizontal="center" vertical="center"/>
    </xf>
    <xf numFmtId="0" fontId="21" fillId="14" borderId="3" xfId="0" applyFont="1" applyFill="1" applyBorder="1" applyAlignment="1">
      <alignment horizontal="center" vertical="center"/>
    </xf>
    <xf numFmtId="0" fontId="17" fillId="0" borderId="130"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1" fillId="16" borderId="130" xfId="0" applyFont="1" applyFill="1" applyBorder="1" applyAlignment="1">
      <alignment horizontal="center" vertical="center"/>
    </xf>
    <xf numFmtId="0" fontId="31" fillId="16" borderId="19" xfId="0" applyFont="1" applyFill="1" applyBorder="1" applyAlignment="1">
      <alignment horizontal="center" vertical="center"/>
    </xf>
    <xf numFmtId="0" fontId="31" fillId="16" borderId="12" xfId="0" applyFont="1" applyFill="1" applyBorder="1" applyAlignment="1">
      <alignment horizontal="center" vertical="center"/>
    </xf>
    <xf numFmtId="0" fontId="31" fillId="0" borderId="13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14" fillId="0" borderId="4" xfId="0" applyFont="1" applyBorder="1" applyAlignment="1">
      <alignment horizontal="center" vertical="center"/>
    </xf>
    <xf numFmtId="0" fontId="14" fillId="0" borderId="139" xfId="0" applyFont="1" applyBorder="1" applyAlignment="1">
      <alignment horizontal="center" vertical="center"/>
    </xf>
    <xf numFmtId="1" fontId="17" fillId="0" borderId="164" xfId="0" applyNumberFormat="1" applyFont="1" applyBorder="1" applyAlignment="1" applyProtection="1">
      <alignment horizontal="left" vertical="center" indent="1"/>
      <protection locked="0"/>
    </xf>
    <xf numFmtId="1" fontId="17" fillId="0" borderId="165" xfId="0" applyNumberFormat="1" applyFont="1" applyBorder="1" applyAlignment="1" applyProtection="1">
      <alignment horizontal="left" vertical="center" indent="1"/>
      <protection locked="0"/>
    </xf>
    <xf numFmtId="0" fontId="0" fillId="0" borderId="170" xfId="0" applyBorder="1" applyAlignment="1">
      <alignment horizontal="center"/>
    </xf>
    <xf numFmtId="0" fontId="0" fillId="0" borderId="171" xfId="0" applyBorder="1" applyAlignment="1">
      <alignment horizontal="center"/>
    </xf>
    <xf numFmtId="0" fontId="17" fillId="9" borderId="19" xfId="0" applyFont="1" applyFill="1" applyBorder="1" applyAlignment="1">
      <alignment horizontal="left" vertical="center"/>
    </xf>
    <xf numFmtId="0" fontId="17" fillId="9" borderId="12" xfId="0" applyFont="1" applyFill="1" applyBorder="1" applyAlignment="1">
      <alignment horizontal="left" vertical="center"/>
    </xf>
    <xf numFmtId="0" fontId="17" fillId="0" borderId="143" xfId="0" applyFont="1" applyBorder="1" applyAlignment="1" applyProtection="1">
      <alignment horizontal="left" vertical="center" indent="1"/>
      <protection locked="0"/>
    </xf>
    <xf numFmtId="0" fontId="17" fillId="0" borderId="19" xfId="0" applyFont="1" applyBorder="1" applyAlignment="1" applyProtection="1">
      <alignment horizontal="left" vertical="center" indent="1"/>
      <protection locked="0"/>
    </xf>
    <xf numFmtId="0" fontId="17" fillId="0" borderId="12" xfId="0" applyFont="1" applyBorder="1" applyAlignment="1" applyProtection="1">
      <alignment horizontal="left" vertical="center" indent="1"/>
      <protection locked="0"/>
    </xf>
    <xf numFmtId="0" fontId="14" fillId="9" borderId="140" xfId="0" applyFont="1" applyFill="1" applyBorder="1" applyAlignment="1">
      <alignment horizontal="center" vertical="center"/>
    </xf>
    <xf numFmtId="0" fontId="14" fillId="9" borderId="12" xfId="0" applyFont="1" applyFill="1" applyBorder="1" applyAlignment="1">
      <alignment horizontal="center" vertical="center"/>
    </xf>
    <xf numFmtId="0" fontId="0" fillId="22" borderId="150" xfId="0" applyFill="1" applyBorder="1" applyAlignment="1">
      <alignment horizontal="center" vertical="center"/>
    </xf>
    <xf numFmtId="0" fontId="0" fillId="22" borderId="151" xfId="0" applyFill="1" applyBorder="1" applyAlignment="1">
      <alignment horizontal="center" vertical="center"/>
    </xf>
    <xf numFmtId="0" fontId="0" fillId="22" borderId="152" xfId="0" applyFill="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1" fillId="14" borderId="25" xfId="0" applyFont="1" applyFill="1" applyBorder="1" applyAlignment="1">
      <alignment horizontal="center" vertical="center" wrapText="1"/>
    </xf>
    <xf numFmtId="0" fontId="21" fillId="14" borderId="20" xfId="0" applyFont="1" applyFill="1" applyBorder="1" applyAlignment="1">
      <alignment horizontal="center" vertical="center"/>
    </xf>
    <xf numFmtId="0" fontId="21" fillId="14" borderId="26"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15" xfId="0" applyFont="1" applyFill="1" applyBorder="1" applyAlignment="1">
      <alignment horizontal="center" vertical="center"/>
    </xf>
    <xf numFmtId="0" fontId="14" fillId="0" borderId="20" xfId="0" applyFont="1" applyBorder="1" applyAlignment="1">
      <alignment horizontal="center" vertical="center"/>
    </xf>
    <xf numFmtId="0" fontId="2" fillId="7" borderId="28" xfId="0" applyFont="1" applyFill="1" applyBorder="1" applyAlignment="1">
      <alignment horizontal="left" vertical="center" wrapText="1" indent="2"/>
    </xf>
    <xf numFmtId="0" fontId="2" fillId="7" borderId="29" xfId="0" applyFont="1" applyFill="1" applyBorder="1" applyAlignment="1">
      <alignment horizontal="left" vertical="center" indent="2"/>
    </xf>
    <xf numFmtId="0" fontId="2" fillId="7" borderId="30" xfId="0" applyFont="1" applyFill="1" applyBorder="1" applyAlignment="1">
      <alignment horizontal="left" vertical="center" indent="2"/>
    </xf>
    <xf numFmtId="0" fontId="8" fillId="17" borderId="28" xfId="0" applyFont="1" applyFill="1" applyBorder="1" applyAlignment="1">
      <alignment horizontal="center" vertical="center" wrapText="1"/>
    </xf>
    <xf numFmtId="0" fontId="8" fillId="17" borderId="29" xfId="0" applyFont="1" applyFill="1" applyBorder="1" applyAlignment="1">
      <alignment horizontal="center" vertical="center" wrapText="1"/>
    </xf>
    <xf numFmtId="0" fontId="8" fillId="17" borderId="30" xfId="0" applyFont="1" applyFill="1" applyBorder="1" applyAlignment="1">
      <alignment horizontal="center" vertical="center" wrapText="1"/>
    </xf>
    <xf numFmtId="0" fontId="2" fillId="7" borderId="28" xfId="0" applyFont="1" applyFill="1" applyBorder="1" applyAlignment="1">
      <alignment horizontal="left" vertical="distributed" wrapText="1" indent="2"/>
    </xf>
    <xf numFmtId="0" fontId="2" fillId="7" borderId="29" xfId="0" applyFont="1" applyFill="1" applyBorder="1" applyAlignment="1">
      <alignment horizontal="left" vertical="distributed" indent="2"/>
    </xf>
    <xf numFmtId="0" fontId="2" fillId="7" borderId="30" xfId="0" applyFont="1" applyFill="1" applyBorder="1" applyAlignment="1">
      <alignment horizontal="left" vertical="distributed" indent="2"/>
    </xf>
    <xf numFmtId="0" fontId="2" fillId="7" borderId="29" xfId="0" applyFont="1" applyFill="1" applyBorder="1" applyAlignment="1">
      <alignment horizontal="left" vertical="center" wrapText="1" indent="2"/>
    </xf>
    <xf numFmtId="0" fontId="2" fillId="7" borderId="30" xfId="0" applyFont="1" applyFill="1" applyBorder="1" applyAlignment="1">
      <alignment horizontal="left" vertical="center" wrapText="1" indent="2"/>
    </xf>
    <xf numFmtId="49" fontId="41" fillId="0" borderId="62" xfId="0" applyNumberFormat="1" applyFont="1" applyBorder="1" applyAlignment="1" applyProtection="1">
      <alignment horizontal="left" vertical="center" indent="1"/>
      <protection locked="0"/>
    </xf>
    <xf numFmtId="49" fontId="41" fillId="0" borderId="63" xfId="0" applyNumberFormat="1" applyFont="1" applyBorder="1" applyAlignment="1" applyProtection="1">
      <alignment horizontal="left" vertical="center" indent="1"/>
      <protection locked="0"/>
    </xf>
    <xf numFmtId="49" fontId="41" fillId="0" borderId="64" xfId="0" applyNumberFormat="1" applyFont="1" applyBorder="1" applyAlignment="1" applyProtection="1">
      <alignment horizontal="left" vertical="center" indent="1"/>
      <protection locked="0"/>
    </xf>
    <xf numFmtId="0" fontId="2" fillId="10" borderId="59" xfId="0" applyFont="1" applyFill="1" applyBorder="1" applyAlignment="1">
      <alignment horizontal="left" vertical="center" wrapText="1" indent="1"/>
    </xf>
    <xf numFmtId="0" fontId="2" fillId="10" borderId="60" xfId="0" applyFont="1" applyFill="1" applyBorder="1" applyAlignment="1">
      <alignment horizontal="left" vertical="center" wrapText="1" indent="1"/>
    </xf>
    <xf numFmtId="0" fontId="2" fillId="10" borderId="61" xfId="0" applyFont="1" applyFill="1" applyBorder="1" applyAlignment="1">
      <alignment horizontal="left" vertical="center" wrapText="1" indent="1"/>
    </xf>
    <xf numFmtId="0" fontId="8" fillId="13" borderId="59" xfId="0" applyFont="1" applyFill="1" applyBorder="1" applyAlignment="1">
      <alignment horizontal="center" vertical="center" wrapText="1"/>
    </xf>
    <xf numFmtId="0" fontId="8" fillId="13" borderId="60" xfId="0" applyFont="1" applyFill="1" applyBorder="1" applyAlignment="1">
      <alignment horizontal="center" vertical="center"/>
    </xf>
    <xf numFmtId="0" fontId="8" fillId="13" borderId="61" xfId="0" applyFont="1" applyFill="1" applyBorder="1" applyAlignment="1">
      <alignment horizontal="center" vertical="center"/>
    </xf>
    <xf numFmtId="1" fontId="11" fillId="10" borderId="59" xfId="0" applyNumberFormat="1" applyFont="1" applyFill="1" applyBorder="1" applyAlignment="1">
      <alignment horizontal="center" vertical="center"/>
    </xf>
    <xf numFmtId="1" fontId="11" fillId="10" borderId="60" xfId="0" applyNumberFormat="1" applyFont="1" applyFill="1" applyBorder="1" applyAlignment="1">
      <alignment horizontal="center" vertical="center"/>
    </xf>
    <xf numFmtId="1" fontId="11" fillId="10" borderId="61" xfId="0" applyNumberFormat="1" applyFont="1" applyFill="1" applyBorder="1" applyAlignment="1">
      <alignment horizontal="center" vertical="center"/>
    </xf>
    <xf numFmtId="49" fontId="41" fillId="0" borderId="65" xfId="0" applyNumberFormat="1" applyFont="1" applyBorder="1" applyAlignment="1" applyProtection="1">
      <alignment horizontal="left" vertical="center" indent="1"/>
      <protection locked="0"/>
    </xf>
    <xf numFmtId="49" fontId="41" fillId="0" borderId="66" xfId="0" applyNumberFormat="1" applyFont="1" applyBorder="1" applyAlignment="1" applyProtection="1">
      <alignment horizontal="left" vertical="center" indent="1"/>
      <protection locked="0"/>
    </xf>
    <xf numFmtId="49" fontId="41" fillId="0" borderId="67" xfId="0" applyNumberFormat="1" applyFont="1" applyBorder="1" applyAlignment="1" applyProtection="1">
      <alignment horizontal="left" vertical="center" indent="1"/>
      <protection locked="0"/>
    </xf>
    <xf numFmtId="0" fontId="12" fillId="16" borderId="90" xfId="0" applyFont="1" applyFill="1" applyBorder="1" applyAlignment="1">
      <alignment horizontal="left" vertical="center" wrapText="1" indent="2"/>
    </xf>
    <xf numFmtId="0" fontId="12" fillId="16" borderId="91" xfId="0" applyFont="1" applyFill="1" applyBorder="1" applyAlignment="1">
      <alignment horizontal="left" vertical="center" wrapText="1" indent="2"/>
    </xf>
    <xf numFmtId="0" fontId="12" fillId="16" borderId="92" xfId="0" applyFont="1" applyFill="1" applyBorder="1" applyAlignment="1">
      <alignment horizontal="left" vertical="center" wrapText="1" indent="2"/>
    </xf>
    <xf numFmtId="0" fontId="12" fillId="16" borderId="78" xfId="0" applyFont="1" applyFill="1" applyBorder="1" applyAlignment="1">
      <alignment horizontal="left" vertical="center" wrapText="1" indent="2"/>
    </xf>
    <xf numFmtId="0" fontId="12" fillId="16" borderId="79" xfId="0" applyFont="1" applyFill="1" applyBorder="1" applyAlignment="1">
      <alignment horizontal="left" vertical="center" wrapText="1" indent="2"/>
    </xf>
    <xf numFmtId="0" fontId="12" fillId="16" borderId="80" xfId="0" applyFont="1" applyFill="1" applyBorder="1" applyAlignment="1">
      <alignment horizontal="left" vertical="center" wrapText="1" indent="2"/>
    </xf>
    <xf numFmtId="0" fontId="12" fillId="16" borderId="72" xfId="0" applyFont="1" applyFill="1" applyBorder="1" applyAlignment="1">
      <alignment horizontal="left" vertical="center" wrapText="1" indent="2"/>
    </xf>
    <xf numFmtId="0" fontId="12" fillId="16" borderId="73" xfId="0" applyFont="1" applyFill="1" applyBorder="1" applyAlignment="1">
      <alignment horizontal="left" vertical="center" wrapText="1" indent="2"/>
    </xf>
    <xf numFmtId="0" fontId="12" fillId="16" borderId="74" xfId="0" applyFont="1" applyFill="1" applyBorder="1" applyAlignment="1">
      <alignment horizontal="left" vertical="center" wrapText="1" indent="2"/>
    </xf>
    <xf numFmtId="0" fontId="12" fillId="16" borderId="94" xfId="0" applyFont="1" applyFill="1" applyBorder="1" applyAlignment="1">
      <alignment horizontal="left" vertical="center" wrapText="1" indent="2"/>
    </xf>
    <xf numFmtId="0" fontId="12" fillId="16" borderId="95" xfId="0" applyFont="1" applyFill="1" applyBorder="1" applyAlignment="1">
      <alignment horizontal="left" vertical="center" wrapText="1" indent="2"/>
    </xf>
    <xf numFmtId="0" fontId="12" fillId="16" borderId="96" xfId="0" applyFont="1" applyFill="1" applyBorder="1" applyAlignment="1">
      <alignment horizontal="left" vertical="center" wrapText="1" indent="2"/>
    </xf>
    <xf numFmtId="0" fontId="8" fillId="18" borderId="72" xfId="0" applyFont="1" applyFill="1" applyBorder="1" applyAlignment="1">
      <alignment horizontal="center" vertical="center" wrapText="1"/>
    </xf>
    <xf numFmtId="0" fontId="8" fillId="18" borderId="73" xfId="0" applyFont="1" applyFill="1" applyBorder="1" applyAlignment="1">
      <alignment horizontal="center" vertical="center"/>
    </xf>
    <xf numFmtId="0" fontId="8" fillId="18" borderId="74" xfId="0" applyFont="1" applyFill="1" applyBorder="1" applyAlignment="1">
      <alignment horizontal="center" vertical="center"/>
    </xf>
    <xf numFmtId="0" fontId="8" fillId="19" borderId="184" xfId="0" applyFont="1" applyFill="1" applyBorder="1" applyAlignment="1">
      <alignment horizontal="center" vertical="center" wrapText="1"/>
    </xf>
    <xf numFmtId="0" fontId="8" fillId="19" borderId="182" xfId="0" applyFont="1" applyFill="1" applyBorder="1" applyAlignment="1">
      <alignment horizontal="center" vertical="center" wrapText="1"/>
    </xf>
    <xf numFmtId="0" fontId="2" fillId="7" borderId="184" xfId="0" applyFont="1" applyFill="1" applyBorder="1" applyAlignment="1">
      <alignment horizontal="left" vertical="center" wrapText="1"/>
    </xf>
    <xf numFmtId="0" fontId="2" fillId="7" borderId="182" xfId="0" applyFont="1" applyFill="1" applyBorder="1" applyAlignment="1">
      <alignment horizontal="left" vertical="center"/>
    </xf>
    <xf numFmtId="0" fontId="8" fillId="15" borderId="97" xfId="0" applyFont="1" applyFill="1" applyBorder="1" applyAlignment="1">
      <alignment horizontal="center" vertical="center" wrapText="1"/>
    </xf>
    <xf numFmtId="0" fontId="8" fillId="15" borderId="98" xfId="0" applyFont="1" applyFill="1" applyBorder="1" applyAlignment="1">
      <alignment horizontal="center" vertical="center"/>
    </xf>
    <xf numFmtId="0" fontId="8" fillId="15" borderId="99" xfId="0" applyFont="1" applyFill="1" applyBorder="1" applyAlignment="1">
      <alignment horizontal="center" vertical="center"/>
    </xf>
    <xf numFmtId="0" fontId="11" fillId="11" borderId="112" xfId="0" applyFont="1" applyFill="1" applyBorder="1" applyAlignment="1">
      <alignment horizontal="center" vertical="center" wrapText="1"/>
    </xf>
    <xf numFmtId="0" fontId="11" fillId="11" borderId="113" xfId="0" applyFont="1" applyFill="1" applyBorder="1" applyAlignment="1">
      <alignment horizontal="center" vertical="center" wrapText="1"/>
    </xf>
    <xf numFmtId="0" fontId="11" fillId="11" borderId="114" xfId="0" applyFont="1" applyFill="1" applyBorder="1" applyAlignment="1">
      <alignment horizontal="center" vertical="center" wrapText="1"/>
    </xf>
    <xf numFmtId="9" fontId="0" fillId="6" borderId="101" xfId="0" applyNumberFormat="1" applyFill="1" applyBorder="1" applyAlignment="1">
      <alignment horizontal="center" vertical="center"/>
    </xf>
    <xf numFmtId="9" fontId="0" fillId="6" borderId="102" xfId="0" applyNumberFormat="1" applyFill="1" applyBorder="1" applyAlignment="1">
      <alignment horizontal="center" vertical="center"/>
    </xf>
    <xf numFmtId="0" fontId="39" fillId="2" borderId="101" xfId="0" applyFont="1" applyFill="1" applyBorder="1" applyAlignment="1">
      <alignment horizontal="center" vertical="center"/>
    </xf>
    <xf numFmtId="0" fontId="39" fillId="2" borderId="102" xfId="0" applyFont="1" applyFill="1" applyBorder="1" applyAlignment="1">
      <alignment horizontal="center" vertical="center"/>
    </xf>
    <xf numFmtId="0" fontId="38" fillId="2" borderId="101" xfId="0" applyFont="1" applyFill="1" applyBorder="1" applyAlignment="1">
      <alignment horizontal="center" vertical="center"/>
    </xf>
    <xf numFmtId="0" fontId="38" fillId="2" borderId="102" xfId="0" applyFont="1" applyFill="1" applyBorder="1" applyAlignment="1">
      <alignment horizontal="center" vertical="center"/>
    </xf>
    <xf numFmtId="0" fontId="39" fillId="2" borderId="107" xfId="0" applyFont="1" applyFill="1" applyBorder="1" applyAlignment="1">
      <alignment horizontal="center" vertical="center"/>
    </xf>
    <xf numFmtId="0" fontId="39" fillId="2" borderId="108" xfId="0" applyFont="1" applyFill="1" applyBorder="1" applyAlignment="1">
      <alignment horizontal="center" vertical="center"/>
    </xf>
    <xf numFmtId="0" fontId="19" fillId="19" borderId="157" xfId="0" applyFont="1" applyFill="1" applyBorder="1" applyAlignment="1">
      <alignment horizontal="center"/>
    </xf>
    <xf numFmtId="0" fontId="19" fillId="19" borderId="0" xfId="0" applyFont="1" applyFill="1" applyAlignment="1">
      <alignment horizontal="center"/>
    </xf>
  </cellXfs>
  <cellStyles count="2">
    <cellStyle name="Hyperlink" xfId="1" builtinId="8"/>
    <cellStyle name="Normal" xfId="0" builtinId="0"/>
  </cellStyles>
  <dxfs count="9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9242"/>
        </patternFill>
      </fill>
    </dxf>
    <dxf>
      <fill>
        <patternFill>
          <bgColor rgb="FF00823B"/>
        </patternFill>
      </fill>
    </dxf>
  </dxfs>
  <tableStyles count="0" defaultTableStyle="TableStyleMedium2" defaultPivotStyle="PivotStyleLight16"/>
  <colors>
    <mruColors>
      <color rgb="FF009242"/>
      <color rgb="FF006600"/>
      <color rgb="FF009900"/>
      <color rgb="FF008000"/>
      <color rgb="FF009A46"/>
      <color rgb="FF005828"/>
      <color rgb="FF007434"/>
      <color rgb="FF00863D"/>
      <color rgb="FFA83D3A"/>
      <color rgb="FFBC9C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7.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532037</xdr:colOff>
      <xdr:row>43</xdr:row>
      <xdr:rowOff>146129</xdr:rowOff>
    </xdr:from>
    <xdr:to>
      <xdr:col>11</xdr:col>
      <xdr:colOff>400220</xdr:colOff>
      <xdr:row>47</xdr:row>
      <xdr:rowOff>71887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28311" y="7478582"/>
          <a:ext cx="9231437" cy="572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a:solidFill>
                <a:schemeClr val="dk1"/>
              </a:solidFill>
              <a:effectLst/>
              <a:latin typeface="+mn-lt"/>
              <a:ea typeface="+mn-ea"/>
              <a:cs typeface="+mn-cs"/>
            </a:rPr>
            <a:t>Once completed, the Progress Tracker provides a REPORT (see tab below). This report can be used to develop an action plan that can serve to plan the way forward towards the implementation and achievement of new measures.</a:t>
          </a:r>
        </a:p>
      </xdr:txBody>
    </xdr:sp>
    <xdr:clientData/>
  </xdr:twoCellAnchor>
  <xdr:twoCellAnchor>
    <xdr:from>
      <xdr:col>1</xdr:col>
      <xdr:colOff>85866</xdr:colOff>
      <xdr:row>9</xdr:row>
      <xdr:rowOff>29650</xdr:rowOff>
    </xdr:from>
    <xdr:to>
      <xdr:col>12</xdr:col>
      <xdr:colOff>28072</xdr:colOff>
      <xdr:row>13</xdr:row>
      <xdr:rowOff>25568</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97734" y="1914597"/>
          <a:ext cx="10299391" cy="637603"/>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ZA" sz="1200" i="0">
              <a:solidFill>
                <a:srgbClr val="C00000"/>
              </a:solidFill>
            </a:rPr>
            <a:t>This Tracker can be used to monitor progress towards the achievement of legal requirements or better management practices. It serves as a checklist of each and every measure, against which one can indicate the degree of achievement of a requirement or practice.</a:t>
          </a:r>
        </a:p>
      </xdr:txBody>
    </xdr:sp>
    <xdr:clientData/>
  </xdr:twoCellAnchor>
  <xdr:twoCellAnchor>
    <xdr:from>
      <xdr:col>2</xdr:col>
      <xdr:colOff>591909</xdr:colOff>
      <xdr:row>14</xdr:row>
      <xdr:rowOff>10550</xdr:rowOff>
    </xdr:from>
    <xdr:to>
      <xdr:col>13</xdr:col>
      <xdr:colOff>171450</xdr:colOff>
      <xdr:row>16</xdr:row>
      <xdr:rowOff>5521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88183" y="2715291"/>
          <a:ext cx="10164871" cy="318461"/>
        </a:xfrm>
        <a:prstGeom prst="rect">
          <a:avLst/>
        </a:prstGeom>
        <a:gradFill flip="none" rotWithShape="1">
          <a:gsLst>
            <a:gs pos="18000">
              <a:srgbClr val="47AAC5"/>
            </a:gs>
            <a:gs pos="96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ZA" sz="1800" b="1">
              <a:solidFill>
                <a:schemeClr val="bg1"/>
              </a:solidFill>
              <a:effectLst/>
              <a:latin typeface="+mn-lt"/>
              <a:ea typeface="+mn-ea"/>
              <a:cs typeface="+mn-cs"/>
            </a:rPr>
            <a:t>GETTING STARTED</a:t>
          </a:r>
          <a:endParaRPr lang="en-US" sz="1800" b="1">
            <a:solidFill>
              <a:schemeClr val="bg1"/>
            </a:solidFill>
            <a:effectLst/>
          </a:endParaRPr>
        </a:p>
        <a:p>
          <a:endParaRPr lang="en-US" sz="1100"/>
        </a:p>
      </xdr:txBody>
    </xdr:sp>
    <xdr:clientData/>
  </xdr:twoCellAnchor>
  <xdr:twoCellAnchor>
    <xdr:from>
      <xdr:col>2</xdr:col>
      <xdr:colOff>476250</xdr:colOff>
      <xdr:row>17</xdr:row>
      <xdr:rowOff>8282</xdr:rowOff>
    </xdr:from>
    <xdr:to>
      <xdr:col>11</xdr:col>
      <xdr:colOff>344433</xdr:colOff>
      <xdr:row>25</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571625" y="3199157"/>
          <a:ext cx="9212208" cy="13156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1116000" algn="l" defTabSz="914400" eaLnBrk="1" fontAlgn="auto" latinLnBrk="0" hangingPunct="1">
            <a:lnSpc>
              <a:spcPct val="100000"/>
            </a:lnSpc>
            <a:spcBef>
              <a:spcPts val="600"/>
            </a:spcBef>
            <a:spcAft>
              <a:spcPts val="0"/>
            </a:spcAft>
            <a:buClrTx/>
            <a:buSzTx/>
            <a:buFontTx/>
            <a:buNone/>
            <a:tabLst/>
            <a:defRPr/>
          </a:pPr>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sym typeface="Wingdings"/>
            </a:rPr>
            <a:t>  </a:t>
          </a:r>
          <a:r>
            <a:rPr lang="en-ZA" sz="1200" baseline="0">
              <a:solidFill>
                <a:sysClr val="windowText" lastClr="000000"/>
              </a:solidFill>
              <a:effectLst/>
              <a:latin typeface="+mn-lt"/>
              <a:ea typeface="+mn-ea"/>
              <a:cs typeface="+mn-cs"/>
            </a:rPr>
            <a:t>This Progress Tracker </a:t>
          </a:r>
          <a:r>
            <a:rPr lang="en-ZA" sz="1200">
              <a:solidFill>
                <a:sysClr val="windowText" lastClr="000000"/>
              </a:solidFill>
              <a:effectLst/>
              <a:latin typeface="+mn-lt"/>
              <a:ea typeface="+mn-ea"/>
              <a:cs typeface="+mn-cs"/>
            </a:rPr>
            <a:t>is for the one-year reporting period </a:t>
          </a:r>
          <a:r>
            <a:rPr lang="en-ZA" sz="1200" b="1">
              <a:solidFill>
                <a:sysClr val="windowText" lastClr="000000"/>
              </a:solidFill>
              <a:effectLst/>
              <a:latin typeface="+mn-lt"/>
              <a:ea typeface="+mn-ea"/>
              <a:cs typeface="+mn-cs"/>
            </a:rPr>
            <a:t>1 March 2024 to 28 February</a:t>
          </a:r>
          <a:r>
            <a:rPr lang="en-ZA" sz="1200" b="1" baseline="0">
              <a:solidFill>
                <a:sysClr val="windowText" lastClr="000000"/>
              </a:solidFill>
              <a:effectLst/>
              <a:latin typeface="+mn-lt"/>
              <a:ea typeface="+mn-ea"/>
              <a:cs typeface="+mn-cs"/>
            </a:rPr>
            <a:t> 2025.</a:t>
          </a:r>
          <a:r>
            <a:rPr lang="en-ZA" sz="1200">
              <a:solidFill>
                <a:sysClr val="windowText" lastClr="000000"/>
              </a:solidFill>
              <a:effectLst/>
              <a:latin typeface="+mn-lt"/>
              <a:ea typeface="+mn-ea"/>
              <a:cs typeface="+mn-cs"/>
            </a:rPr>
            <a:t> </a:t>
          </a:r>
          <a:r>
            <a:rPr lang="en-ZA" sz="1200">
              <a:solidFill>
                <a:schemeClr val="dk1"/>
              </a:solidFill>
              <a:effectLst/>
              <a:latin typeface="+mn-lt"/>
              <a:ea typeface="+mn-ea"/>
              <a:cs typeface="+mn-cs"/>
            </a:rPr>
            <a:t>Regardless of the date on which you complete the Tracker, the information entered must relate to this twelve-month  reporting period. This will allow meaningful year-on-year progress tracking.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rgbClr val="C00000"/>
              </a:solidFill>
              <a:effectLst/>
              <a:latin typeface="+mn-lt"/>
              <a:ea typeface="+mn-ea"/>
              <a:cs typeface="+mn-cs"/>
            </a:rPr>
            <a:t> </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Select different sections of the Tracker by clicking one of the tabs at the bottom of your screen.</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Start by selecting the PROFILE tab, and fill in the details requested.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rgbClr val="C00000"/>
              </a:solidFill>
              <a:effectLst/>
              <a:latin typeface="+mn-lt"/>
              <a:ea typeface="+mn-ea"/>
              <a:cs typeface="+mn-cs"/>
            </a:rPr>
            <a:t>  </a:t>
          </a:r>
          <a:r>
            <a:rPr lang="en-ZA" sz="1200">
              <a:solidFill>
                <a:schemeClr val="dk1"/>
              </a:solidFill>
              <a:effectLst/>
              <a:latin typeface="+mn-lt"/>
              <a:ea typeface="+mn-ea"/>
              <a:cs typeface="+mn-cs"/>
            </a:rPr>
            <a:t>Next, proceed to the three main sections of SUSFARMS</a:t>
          </a:r>
          <a:r>
            <a:rPr lang="en-ZA" sz="1200" baseline="30000">
              <a:solidFill>
                <a:schemeClr val="dk1"/>
              </a:solidFill>
              <a:effectLst/>
              <a:latin typeface="+mn-lt"/>
              <a:ea typeface="+mn-ea"/>
              <a:cs typeface="+mn-cs"/>
            </a:rPr>
            <a:t>®</a:t>
          </a:r>
          <a:r>
            <a:rPr lang="en-ZA" sz="1200">
              <a:solidFill>
                <a:schemeClr val="dk1"/>
              </a:solidFill>
              <a:effectLst/>
              <a:latin typeface="+mn-lt"/>
              <a:ea typeface="+mn-ea"/>
              <a:cs typeface="+mn-cs"/>
            </a:rPr>
            <a:t>, namely PROSPERITY, PEOPLE and PLANET.</a:t>
          </a:r>
        </a:p>
      </xdr:txBody>
    </xdr:sp>
    <xdr:clientData/>
  </xdr:twoCellAnchor>
  <xdr:twoCellAnchor>
    <xdr:from>
      <xdr:col>2</xdr:col>
      <xdr:colOff>568776</xdr:colOff>
      <xdr:row>26</xdr:row>
      <xdr:rowOff>62874</xdr:rowOff>
    </xdr:from>
    <xdr:to>
      <xdr:col>13</xdr:col>
      <xdr:colOff>361950</xdr:colOff>
      <xdr:row>28</xdr:row>
      <xdr:rowOff>103694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65050" y="4645657"/>
          <a:ext cx="10378504" cy="364311"/>
        </a:xfrm>
        <a:prstGeom prst="rect">
          <a:avLst/>
        </a:prstGeom>
        <a:gradFill flip="none" rotWithShape="1">
          <a:gsLst>
            <a:gs pos="18000">
              <a:srgbClr val="47AAC5"/>
            </a:gs>
            <a:gs pos="96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b="1">
              <a:solidFill>
                <a:schemeClr val="bg1"/>
              </a:solidFill>
              <a:effectLst/>
              <a:latin typeface="+mn-lt"/>
              <a:ea typeface="+mn-ea"/>
              <a:cs typeface="+mn-cs"/>
            </a:rPr>
            <a:t>SCORING</a:t>
          </a:r>
          <a:endParaRPr lang="en-US" sz="1800" b="1">
            <a:solidFill>
              <a:schemeClr val="bg1"/>
            </a:solidFill>
            <a:effectLst/>
          </a:endParaRPr>
        </a:p>
        <a:p>
          <a:endParaRPr lang="en-US" sz="1100"/>
        </a:p>
      </xdr:txBody>
    </xdr:sp>
    <xdr:clientData/>
  </xdr:twoCellAnchor>
  <xdr:twoCellAnchor>
    <xdr:from>
      <xdr:col>2</xdr:col>
      <xdr:colOff>521151</xdr:colOff>
      <xdr:row>29</xdr:row>
      <xdr:rowOff>95534</xdr:rowOff>
    </xdr:from>
    <xdr:to>
      <xdr:col>11</xdr:col>
      <xdr:colOff>457199</xdr:colOff>
      <xdr:row>39</xdr:row>
      <xdr:rowOff>17970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617425" y="5163553"/>
          <a:ext cx="9299302" cy="1539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accent2">
                  <a:lumMod val="60000"/>
                  <a:lumOff val="40000"/>
                </a:schemeClr>
              </a:solidFill>
              <a:effectLst/>
              <a:latin typeface="+mn-lt"/>
              <a:ea typeface="+mn-ea"/>
              <a:cs typeface="+mn-cs"/>
            </a:rPr>
            <a:t>  </a:t>
          </a:r>
          <a:r>
            <a:rPr lang="en-ZA" sz="1200">
              <a:solidFill>
                <a:schemeClr val="dk1"/>
              </a:solidFill>
              <a:effectLst/>
              <a:latin typeface="+mn-lt"/>
              <a:ea typeface="+mn-ea"/>
              <a:cs typeface="+mn-cs"/>
            </a:rPr>
            <a:t>Select an answer for each measure from the drop-down menu.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accent2">
                  <a:lumMod val="60000"/>
                  <a:lumOff val="40000"/>
                </a:schemeClr>
              </a:solidFill>
              <a:effectLst/>
              <a:latin typeface="+mn-lt"/>
              <a:ea typeface="+mn-ea"/>
              <a:cs typeface="+mn-cs"/>
            </a:rPr>
            <a:t> </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Some measures allow the user to select a range of responses. Choose a response that best represents the </a:t>
          </a:r>
          <a:br>
            <a:rPr lang="en-ZA" sz="1200">
              <a:solidFill>
                <a:schemeClr val="dk1"/>
              </a:solidFill>
              <a:effectLst/>
              <a:latin typeface="+mn-lt"/>
              <a:ea typeface="+mn-ea"/>
              <a:cs typeface="+mn-cs"/>
            </a:rPr>
          </a:br>
          <a:r>
            <a:rPr lang="en-ZA" sz="1200">
              <a:solidFill>
                <a:schemeClr val="dk1"/>
              </a:solidFill>
              <a:effectLst/>
              <a:latin typeface="+mn-lt"/>
              <a:ea typeface="+mn-ea"/>
              <a:cs typeface="+mn-cs"/>
            </a:rPr>
            <a:t>     degree to which you comply with the measure being rated.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If a measure is not applicable to your situation, then select 'N/A'.</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If a measure requires you to enter a value, enter only the figure and not the unit of measure. For example, enter 65 and </a:t>
          </a:r>
          <a:br>
            <a:rPr lang="en-ZA" sz="1200">
              <a:solidFill>
                <a:schemeClr val="dk1"/>
              </a:solidFill>
              <a:effectLst/>
              <a:latin typeface="+mn-lt"/>
              <a:ea typeface="+mn-ea"/>
              <a:cs typeface="+mn-cs"/>
            </a:rPr>
          </a:br>
          <a:r>
            <a:rPr lang="en-ZA" sz="1200">
              <a:solidFill>
                <a:schemeClr val="dk1"/>
              </a:solidFill>
              <a:effectLst/>
              <a:latin typeface="+mn-lt"/>
              <a:ea typeface="+mn-ea"/>
              <a:cs typeface="+mn-cs"/>
            </a:rPr>
            <a:t>     not 65 tc/ha.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If you are unsure of how to complete a question, or require</a:t>
          </a:r>
          <a:r>
            <a:rPr lang="en-ZA" sz="1200" baseline="0">
              <a:solidFill>
                <a:schemeClr val="dk1"/>
              </a:solidFill>
              <a:effectLst/>
              <a:latin typeface="+mn-lt"/>
              <a:ea typeface="+mn-ea"/>
              <a:cs typeface="+mn-cs"/>
            </a:rPr>
            <a:t> additional information, </a:t>
          </a:r>
          <a:r>
            <a:rPr lang="en-ZA" sz="1200">
              <a:solidFill>
                <a:schemeClr val="dk1"/>
              </a:solidFill>
              <a:effectLst/>
              <a:latin typeface="+mn-lt"/>
              <a:ea typeface="+mn-ea"/>
              <a:cs typeface="+mn-cs"/>
            </a:rPr>
            <a:t>use the NOTES tab or consult your local Extension Specialist.</a:t>
          </a:r>
          <a:endParaRPr lang="en-ZA" sz="1200">
            <a:solidFill>
              <a:srgbClr val="FF0000"/>
            </a:solidFill>
            <a:effectLst/>
            <a:latin typeface="+mn-lt"/>
            <a:ea typeface="+mn-ea"/>
            <a:cs typeface="+mn-cs"/>
          </a:endParaRPr>
        </a:p>
      </xdr:txBody>
    </xdr:sp>
    <xdr:clientData/>
  </xdr:twoCellAnchor>
  <xdr:twoCellAnchor>
    <xdr:from>
      <xdr:col>2</xdr:col>
      <xdr:colOff>595992</xdr:colOff>
      <xdr:row>40</xdr:row>
      <xdr:rowOff>135244</xdr:rowOff>
    </xdr:from>
    <xdr:to>
      <xdr:col>13</xdr:col>
      <xdr:colOff>476250</xdr:colOff>
      <xdr:row>43</xdr:row>
      <xdr:rowOff>12780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692266" y="6982461"/>
          <a:ext cx="10465588" cy="362772"/>
        </a:xfrm>
        <a:prstGeom prst="rect">
          <a:avLst/>
        </a:prstGeom>
        <a:gradFill flip="none" rotWithShape="1">
          <a:gsLst>
            <a:gs pos="18000">
              <a:srgbClr val="47AAC5"/>
            </a:gs>
            <a:gs pos="95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b="1">
              <a:solidFill>
                <a:schemeClr val="bg1"/>
              </a:solidFill>
              <a:effectLst/>
              <a:latin typeface="+mn-lt"/>
              <a:ea typeface="+mn-ea"/>
              <a:cs typeface="+mn-cs"/>
            </a:rPr>
            <a:t>SUMMARY REPORT</a:t>
          </a:r>
          <a:endParaRPr lang="en-US" sz="1100"/>
        </a:p>
      </xdr:txBody>
    </xdr:sp>
    <xdr:clientData/>
  </xdr:twoCellAnchor>
  <xdr:twoCellAnchor editAs="oneCell">
    <xdr:from>
      <xdr:col>1</xdr:col>
      <xdr:colOff>80530</xdr:colOff>
      <xdr:row>13</xdr:row>
      <xdr:rowOff>50754</xdr:rowOff>
    </xdr:from>
    <xdr:to>
      <xdr:col>2</xdr:col>
      <xdr:colOff>276226</xdr:colOff>
      <xdr:row>16</xdr:row>
      <xdr:rowOff>152276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9398" y="2593749"/>
          <a:ext cx="573102" cy="586758"/>
        </a:xfrm>
        <a:prstGeom prst="rect">
          <a:avLst/>
        </a:prstGeom>
      </xdr:spPr>
    </xdr:pic>
    <xdr:clientData/>
  </xdr:twoCellAnchor>
  <xdr:twoCellAnchor editAs="oneCell">
    <xdr:from>
      <xdr:col>1</xdr:col>
      <xdr:colOff>66675</xdr:colOff>
      <xdr:row>25</xdr:row>
      <xdr:rowOff>2694</xdr:rowOff>
    </xdr:from>
    <xdr:to>
      <xdr:col>2</xdr:col>
      <xdr:colOff>295275</xdr:colOff>
      <xdr:row>29</xdr:row>
      <xdr:rowOff>27495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5543" y="4486633"/>
          <a:ext cx="606006" cy="608881"/>
        </a:xfrm>
        <a:prstGeom prst="rect">
          <a:avLst/>
        </a:prstGeom>
      </xdr:spPr>
    </xdr:pic>
    <xdr:clientData/>
  </xdr:twoCellAnchor>
  <xdr:twoCellAnchor editAs="oneCell">
    <xdr:from>
      <xdr:col>1</xdr:col>
      <xdr:colOff>95251</xdr:colOff>
      <xdr:row>39</xdr:row>
      <xdr:rowOff>118009</xdr:rowOff>
    </xdr:from>
    <xdr:to>
      <xdr:col>2</xdr:col>
      <xdr:colOff>338668</xdr:colOff>
      <xdr:row>43</xdr:row>
      <xdr:rowOff>107426</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4119" y="6803481"/>
          <a:ext cx="620823" cy="636398"/>
        </a:xfrm>
        <a:prstGeom prst="rect">
          <a:avLst/>
        </a:prstGeom>
      </xdr:spPr>
    </xdr:pic>
    <xdr:clientData/>
  </xdr:twoCellAnchor>
  <xdr:twoCellAnchor editAs="oneCell">
    <xdr:from>
      <xdr:col>1</xdr:col>
      <xdr:colOff>171450</xdr:colOff>
      <xdr:row>1</xdr:row>
      <xdr:rowOff>114299</xdr:rowOff>
    </xdr:from>
    <xdr:to>
      <xdr:col>11</xdr:col>
      <xdr:colOff>449301</xdr:colOff>
      <xdr:row>8</xdr:row>
      <xdr:rowOff>142875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85825" y="619124"/>
          <a:ext cx="10002876" cy="1257301"/>
        </a:xfrm>
        <a:prstGeom prst="rect">
          <a:avLst/>
        </a:prstGeom>
      </xdr:spPr>
    </xdr:pic>
    <xdr:clientData/>
  </xdr:twoCellAnchor>
  <xdr:twoCellAnchor>
    <xdr:from>
      <xdr:col>2</xdr:col>
      <xdr:colOff>560165</xdr:colOff>
      <xdr:row>51</xdr:row>
      <xdr:rowOff>91922</xdr:rowOff>
    </xdr:from>
    <xdr:to>
      <xdr:col>11</xdr:col>
      <xdr:colOff>494222</xdr:colOff>
      <xdr:row>63</xdr:row>
      <xdr:rowOff>71886</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656439" y="8718337"/>
          <a:ext cx="9297311" cy="1920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a:solidFill>
                <a:schemeClr val="dk1"/>
              </a:solidFill>
              <a:effectLst/>
              <a:latin typeface="+mn-lt"/>
              <a:ea typeface="+mn-ea"/>
              <a:cs typeface="+mn-cs"/>
            </a:rPr>
            <a:t>All copyright and other intellectual property rights subsisting in this tool, including without limitation all text, images, graphics and code contained in this tool (collectively, the "Contents") are owned by the South African Sugar Association (‘the Owner’). Neither this tool nor any of its Contents may be shared, modified or copied in whole or part in any form, or be used to create any derivative work without the owner’s prior written permission. Whilst every effort has been made to ensure that the information contained in this tool is accurate, the owner makes no representation, warranty or guarantee relating to the use of this tool. The use of this tool is at your own risk. The entire risk arising out of your use or the performance of this tool remains with you, and neither the Owner nor its consultants or staff can be held liable for any loss or damage, whether direct or indirect, caused by any data, information, record or results available on, obtained through or resulting from the use of this tool or caused by the reliance on the information contained in this tool. The use of proprietary names should not be considered as an endorsement for their use.</a:t>
          </a:r>
        </a:p>
      </xdr:txBody>
    </xdr:sp>
    <xdr:clientData/>
  </xdr:twoCellAnchor>
  <xdr:twoCellAnchor>
    <xdr:from>
      <xdr:col>2</xdr:col>
      <xdr:colOff>604079</xdr:colOff>
      <xdr:row>48</xdr:row>
      <xdr:rowOff>110260</xdr:rowOff>
    </xdr:from>
    <xdr:to>
      <xdr:col>13</xdr:col>
      <xdr:colOff>484337</xdr:colOff>
      <xdr:row>50</xdr:row>
      <xdr:rowOff>149541</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700353" y="8251439"/>
          <a:ext cx="10465588" cy="362772"/>
        </a:xfrm>
        <a:prstGeom prst="rect">
          <a:avLst/>
        </a:prstGeom>
        <a:gradFill flip="none" rotWithShape="1">
          <a:gsLst>
            <a:gs pos="18000">
              <a:srgbClr val="47AAC5"/>
            </a:gs>
            <a:gs pos="95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b="1">
              <a:solidFill>
                <a:schemeClr val="bg1"/>
              </a:solidFill>
              <a:effectLst/>
              <a:latin typeface="+mn-lt"/>
              <a:ea typeface="+mn-ea"/>
              <a:cs typeface="+mn-cs"/>
            </a:rPr>
            <a:t>DISCLAIMER</a:t>
          </a:r>
          <a:endParaRPr lang="en-US" sz="1100"/>
        </a:p>
      </xdr:txBody>
    </xdr:sp>
    <xdr:clientData/>
  </xdr:twoCellAnchor>
  <xdr:twoCellAnchor editAs="oneCell">
    <xdr:from>
      <xdr:col>1</xdr:col>
      <xdr:colOff>78077</xdr:colOff>
      <xdr:row>47</xdr:row>
      <xdr:rowOff>118605</xdr:rowOff>
    </xdr:from>
    <xdr:to>
      <xdr:col>2</xdr:col>
      <xdr:colOff>321494</xdr:colOff>
      <xdr:row>51</xdr:row>
      <xdr:rowOff>108022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6945" y="8098039"/>
          <a:ext cx="620823" cy="636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2329295</xdr:colOff>
      <xdr:row>1</xdr:row>
      <xdr:rowOff>43296</xdr:rowOff>
    </xdr:from>
    <xdr:to>
      <xdr:col>1</xdr:col>
      <xdr:colOff>2989845</xdr:colOff>
      <xdr:row>1</xdr:row>
      <xdr:rowOff>703846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0" y="545523"/>
          <a:ext cx="660550" cy="660550"/>
        </a:xfrm>
        <a:prstGeom prst="rect">
          <a:avLst/>
        </a:prstGeom>
      </xdr:spPr>
    </xdr:pic>
    <xdr:clientData/>
  </xdr:twoCellAnchor>
  <xdr:twoCellAnchor editAs="oneCell">
    <xdr:from>
      <xdr:col>3</xdr:col>
      <xdr:colOff>971550</xdr:colOff>
      <xdr:row>0</xdr:row>
      <xdr:rowOff>498231</xdr:rowOff>
    </xdr:from>
    <xdr:to>
      <xdr:col>4</xdr:col>
      <xdr:colOff>800101</xdr:colOff>
      <xdr:row>2</xdr:row>
      <xdr:rowOff>2198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5255" b="9077"/>
        <a:stretch/>
      </xdr:blipFill>
      <xdr:spPr>
        <a:xfrm>
          <a:off x="7089531" y="498231"/>
          <a:ext cx="1191357" cy="762000"/>
        </a:xfrm>
        <a:prstGeom prst="rect">
          <a:avLst/>
        </a:prstGeom>
      </xdr:spPr>
    </xdr:pic>
    <xdr:clientData/>
  </xdr:twoCellAnchor>
  <xdr:twoCellAnchor>
    <xdr:from>
      <xdr:col>5</xdr:col>
      <xdr:colOff>495300</xdr:colOff>
      <xdr:row>38</xdr:row>
      <xdr:rowOff>571500</xdr:rowOff>
    </xdr:from>
    <xdr:to>
      <xdr:col>5</xdr:col>
      <xdr:colOff>1885950</xdr:colOff>
      <xdr:row>38</xdr:row>
      <xdr:rowOff>571500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10477500" y="11630025"/>
          <a:ext cx="1390650" cy="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883920</xdr:colOff>
          <xdr:row>1</xdr:row>
          <xdr:rowOff>121920</xdr:rowOff>
        </xdr:from>
        <xdr:to>
          <xdr:col>5</xdr:col>
          <xdr:colOff>3200400</xdr:colOff>
          <xdr:row>1</xdr:row>
          <xdr:rowOff>556260</xdr:rowOff>
        </xdr:to>
        <xdr:sp macro="" textlink="">
          <xdr:nvSpPr>
            <xdr:cNvPr id="2054" name="Clear_All"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66675</xdr:colOff>
      <xdr:row>31</xdr:row>
      <xdr:rowOff>0</xdr:rowOff>
    </xdr:from>
    <xdr:ext cx="184731" cy="264560"/>
    <xdr:sp macro="" textlink="">
      <xdr:nvSpPr>
        <xdr:cNvPr id="126" name="TextBox 125">
          <a:extLst>
            <a:ext uri="{FF2B5EF4-FFF2-40B4-BE49-F238E27FC236}">
              <a16:creationId xmlns:a16="http://schemas.microsoft.com/office/drawing/2014/main" id="{00000000-0008-0000-0200-00007E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27" name="TextBox 126">
          <a:extLst>
            <a:ext uri="{FF2B5EF4-FFF2-40B4-BE49-F238E27FC236}">
              <a16:creationId xmlns:a16="http://schemas.microsoft.com/office/drawing/2014/main" id="{00000000-0008-0000-0200-00007F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0" name="TextBox 129">
          <a:extLst>
            <a:ext uri="{FF2B5EF4-FFF2-40B4-BE49-F238E27FC236}">
              <a16:creationId xmlns:a16="http://schemas.microsoft.com/office/drawing/2014/main" id="{00000000-0008-0000-0200-000082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1" name="TextBox 130">
          <a:extLst>
            <a:ext uri="{FF2B5EF4-FFF2-40B4-BE49-F238E27FC236}">
              <a16:creationId xmlns:a16="http://schemas.microsoft.com/office/drawing/2014/main" id="{00000000-0008-0000-0200-000083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2" name="TextBox 131">
          <a:extLst>
            <a:ext uri="{FF2B5EF4-FFF2-40B4-BE49-F238E27FC236}">
              <a16:creationId xmlns:a16="http://schemas.microsoft.com/office/drawing/2014/main" id="{00000000-0008-0000-0200-000084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3" name="TextBox 132">
          <a:extLst>
            <a:ext uri="{FF2B5EF4-FFF2-40B4-BE49-F238E27FC236}">
              <a16:creationId xmlns:a16="http://schemas.microsoft.com/office/drawing/2014/main" id="{00000000-0008-0000-0200-000085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4" name="TextBox 133">
          <a:extLst>
            <a:ext uri="{FF2B5EF4-FFF2-40B4-BE49-F238E27FC236}">
              <a16:creationId xmlns:a16="http://schemas.microsoft.com/office/drawing/2014/main" id="{00000000-0008-0000-0200-000086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5" name="TextBox 134">
          <a:extLst>
            <a:ext uri="{FF2B5EF4-FFF2-40B4-BE49-F238E27FC236}">
              <a16:creationId xmlns:a16="http://schemas.microsoft.com/office/drawing/2014/main" id="{00000000-0008-0000-0200-000087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6" name="TextBox 135">
          <a:extLst>
            <a:ext uri="{FF2B5EF4-FFF2-40B4-BE49-F238E27FC236}">
              <a16:creationId xmlns:a16="http://schemas.microsoft.com/office/drawing/2014/main" id="{00000000-0008-0000-0200-000088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7" name="TextBox 136">
          <a:extLst>
            <a:ext uri="{FF2B5EF4-FFF2-40B4-BE49-F238E27FC236}">
              <a16:creationId xmlns:a16="http://schemas.microsoft.com/office/drawing/2014/main" id="{00000000-0008-0000-0200-000089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8" name="TextBox 137">
          <a:extLst>
            <a:ext uri="{FF2B5EF4-FFF2-40B4-BE49-F238E27FC236}">
              <a16:creationId xmlns:a16="http://schemas.microsoft.com/office/drawing/2014/main" id="{00000000-0008-0000-0200-00008A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9" name="TextBox 138">
          <a:extLst>
            <a:ext uri="{FF2B5EF4-FFF2-40B4-BE49-F238E27FC236}">
              <a16:creationId xmlns:a16="http://schemas.microsoft.com/office/drawing/2014/main" id="{00000000-0008-0000-0200-00008B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0" name="TextBox 139">
          <a:extLst>
            <a:ext uri="{FF2B5EF4-FFF2-40B4-BE49-F238E27FC236}">
              <a16:creationId xmlns:a16="http://schemas.microsoft.com/office/drawing/2014/main" id="{00000000-0008-0000-0200-00008C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1" name="TextBox 140">
          <a:extLst>
            <a:ext uri="{FF2B5EF4-FFF2-40B4-BE49-F238E27FC236}">
              <a16:creationId xmlns:a16="http://schemas.microsoft.com/office/drawing/2014/main" id="{00000000-0008-0000-0200-00008D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2" name="TextBox 141">
          <a:extLst>
            <a:ext uri="{FF2B5EF4-FFF2-40B4-BE49-F238E27FC236}">
              <a16:creationId xmlns:a16="http://schemas.microsoft.com/office/drawing/2014/main" id="{00000000-0008-0000-0200-00008E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3" name="TextBox 142">
          <a:extLst>
            <a:ext uri="{FF2B5EF4-FFF2-40B4-BE49-F238E27FC236}">
              <a16:creationId xmlns:a16="http://schemas.microsoft.com/office/drawing/2014/main" id="{00000000-0008-0000-0200-00008F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4" name="TextBox 143">
          <a:extLst>
            <a:ext uri="{FF2B5EF4-FFF2-40B4-BE49-F238E27FC236}">
              <a16:creationId xmlns:a16="http://schemas.microsoft.com/office/drawing/2014/main" id="{00000000-0008-0000-0200-000090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5" name="TextBox 144">
          <a:extLst>
            <a:ext uri="{FF2B5EF4-FFF2-40B4-BE49-F238E27FC236}">
              <a16:creationId xmlns:a16="http://schemas.microsoft.com/office/drawing/2014/main" id="{00000000-0008-0000-0200-000091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6" name="TextBox 145">
          <a:extLst>
            <a:ext uri="{FF2B5EF4-FFF2-40B4-BE49-F238E27FC236}">
              <a16:creationId xmlns:a16="http://schemas.microsoft.com/office/drawing/2014/main" id="{00000000-0008-0000-0200-000092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7" name="TextBox 146">
          <a:extLst>
            <a:ext uri="{FF2B5EF4-FFF2-40B4-BE49-F238E27FC236}">
              <a16:creationId xmlns:a16="http://schemas.microsoft.com/office/drawing/2014/main" id="{00000000-0008-0000-0200-000093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8" name="TextBox 147">
          <a:extLst>
            <a:ext uri="{FF2B5EF4-FFF2-40B4-BE49-F238E27FC236}">
              <a16:creationId xmlns:a16="http://schemas.microsoft.com/office/drawing/2014/main" id="{00000000-0008-0000-0200-000094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9" name="TextBox 148">
          <a:extLst>
            <a:ext uri="{FF2B5EF4-FFF2-40B4-BE49-F238E27FC236}">
              <a16:creationId xmlns:a16="http://schemas.microsoft.com/office/drawing/2014/main" id="{00000000-0008-0000-0200-000095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twoCellAnchor editAs="oneCell">
    <xdr:from>
      <xdr:col>1</xdr:col>
      <xdr:colOff>2428875</xdr:colOff>
      <xdr:row>1</xdr:row>
      <xdr:rowOff>57150</xdr:rowOff>
    </xdr:from>
    <xdr:to>
      <xdr:col>1</xdr:col>
      <xdr:colOff>3089425</xdr:colOff>
      <xdr:row>1</xdr:row>
      <xdr:rowOff>717700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8875" y="438150"/>
          <a:ext cx="660550" cy="660550"/>
        </a:xfrm>
        <a:prstGeom prst="rect">
          <a:avLst/>
        </a:prstGeom>
      </xdr:spPr>
    </xdr:pic>
    <xdr:clientData/>
  </xdr:twoCellAnchor>
  <xdr:twoCellAnchor editAs="oneCell">
    <xdr:from>
      <xdr:col>2</xdr:col>
      <xdr:colOff>1</xdr:colOff>
      <xdr:row>0</xdr:row>
      <xdr:rowOff>500063</xdr:rowOff>
    </xdr:from>
    <xdr:to>
      <xdr:col>3</xdr:col>
      <xdr:colOff>365126</xdr:colOff>
      <xdr:row>2</xdr:row>
      <xdr:rowOff>7938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045" b="21065"/>
        <a:stretch/>
      </xdr:blipFill>
      <xdr:spPr>
        <a:xfrm>
          <a:off x="7389814" y="500063"/>
          <a:ext cx="1516062" cy="777875"/>
        </a:xfrm>
        <a:prstGeom prst="rect">
          <a:avLst/>
        </a:prstGeom>
      </xdr:spPr>
    </xdr:pic>
    <xdr:clientData/>
  </xdr:twoCellAnchor>
  <xdr:twoCellAnchor>
    <xdr:from>
      <xdr:col>1</xdr:col>
      <xdr:colOff>1228726</xdr:colOff>
      <xdr:row>55</xdr:row>
      <xdr:rowOff>252161</xdr:rowOff>
    </xdr:from>
    <xdr:to>
      <xdr:col>1</xdr:col>
      <xdr:colOff>1743076</xdr:colOff>
      <xdr:row>55</xdr:row>
      <xdr:rowOff>419100</xdr:rowOff>
    </xdr:to>
    <xdr:sp macro="" textlink="PROFILE!C19">
      <xdr:nvSpPr>
        <xdr:cNvPr id="4" name="Rectangle 3">
          <a:extLst>
            <a:ext uri="{FF2B5EF4-FFF2-40B4-BE49-F238E27FC236}">
              <a16:creationId xmlns:a16="http://schemas.microsoft.com/office/drawing/2014/main" id="{00000000-0008-0000-0200-000004000000}"/>
            </a:ext>
          </a:extLst>
        </xdr:cNvPr>
        <xdr:cNvSpPr/>
      </xdr:nvSpPr>
      <xdr:spPr>
        <a:xfrm>
          <a:off x="1228726" y="17082836"/>
          <a:ext cx="514350" cy="166939"/>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9938371-6786-4176-AC84-B754D33DCBAD}" type="TxLink">
            <a:rPr lang="en-US" sz="1000" b="1" i="0" u="none" strike="noStrike">
              <a:solidFill>
                <a:srgbClr val="FF0000"/>
              </a:solidFill>
              <a:latin typeface="Arial"/>
              <a:cs typeface="Arial"/>
            </a:rPr>
            <a:pPr algn="ctr"/>
            <a:t> </a:t>
          </a:fld>
          <a:endParaRPr lang="en-ZA" sz="1100" b="1" i="0">
            <a:solidFill>
              <a:srgbClr val="FF0000"/>
            </a:solidFill>
          </a:endParaRPr>
        </a:p>
      </xdr:txBody>
    </xdr:sp>
    <xdr:clientData/>
  </xdr:twoCellAnchor>
  <xdr:twoCellAnchor>
    <xdr:from>
      <xdr:col>1</xdr:col>
      <xdr:colOff>977179</xdr:colOff>
      <xdr:row>56</xdr:row>
      <xdr:rowOff>243640</xdr:rowOff>
    </xdr:from>
    <xdr:to>
      <xdr:col>1</xdr:col>
      <xdr:colOff>1687890</xdr:colOff>
      <xdr:row>56</xdr:row>
      <xdr:rowOff>420354</xdr:rowOff>
    </xdr:to>
    <xdr:sp macro="" textlink="CALCULATORS!D78">
      <xdr:nvSpPr>
        <xdr:cNvPr id="29" name="Rectangle 28">
          <a:extLst>
            <a:ext uri="{FF2B5EF4-FFF2-40B4-BE49-F238E27FC236}">
              <a16:creationId xmlns:a16="http://schemas.microsoft.com/office/drawing/2014/main" id="{00000000-0008-0000-0200-00001D000000}"/>
            </a:ext>
          </a:extLst>
        </xdr:cNvPr>
        <xdr:cNvSpPr/>
      </xdr:nvSpPr>
      <xdr:spPr>
        <a:xfrm>
          <a:off x="977179" y="17579140"/>
          <a:ext cx="710711" cy="176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76F122F-A04A-4FE5-A921-6FDA6E94D1C0}" type="TxLink">
            <a:rPr lang="en-US" sz="1000" b="1" i="0" u="none" strike="noStrike">
              <a:solidFill>
                <a:srgbClr val="FF0000"/>
              </a:solidFill>
              <a:latin typeface="Arial"/>
              <a:cs typeface="Arial"/>
            </a:rPr>
            <a:pPr algn="ctr"/>
            <a:t>#DIV/0!</a:t>
          </a:fld>
          <a:endParaRPr lang="en-ZA" sz="1100" b="1" i="0">
            <a:solidFill>
              <a:srgbClr val="FF0000"/>
            </a:solidFill>
          </a:endParaRPr>
        </a:p>
      </xdr:txBody>
    </xdr:sp>
    <xdr:clientData/>
  </xdr:twoCellAnchor>
  <xdr:twoCellAnchor>
    <xdr:from>
      <xdr:col>1</xdr:col>
      <xdr:colOff>2212646</xdr:colOff>
      <xdr:row>60</xdr:row>
      <xdr:rowOff>241928</xdr:rowOff>
    </xdr:from>
    <xdr:to>
      <xdr:col>1</xdr:col>
      <xdr:colOff>3028866</xdr:colOff>
      <xdr:row>60</xdr:row>
      <xdr:rowOff>425732</xdr:rowOff>
    </xdr:to>
    <xdr:sp macro="" textlink="CALCULATORS!D72">
      <xdr:nvSpPr>
        <xdr:cNvPr id="30" name="Rectangle 29">
          <a:extLst>
            <a:ext uri="{FF2B5EF4-FFF2-40B4-BE49-F238E27FC236}">
              <a16:creationId xmlns:a16="http://schemas.microsoft.com/office/drawing/2014/main" id="{00000000-0008-0000-0200-00001E000000}"/>
            </a:ext>
          </a:extLst>
        </xdr:cNvPr>
        <xdr:cNvSpPr/>
      </xdr:nvSpPr>
      <xdr:spPr>
        <a:xfrm>
          <a:off x="2212646" y="19596728"/>
          <a:ext cx="816220" cy="18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38FCD43-A03A-43BE-A664-A3D25BEE32CB}" type="TxLink">
            <a:rPr lang="en-US" sz="1000" b="1" i="0" u="none" strike="noStrike">
              <a:solidFill>
                <a:srgbClr val="FF0000"/>
              </a:solidFill>
              <a:latin typeface="Arial"/>
              <a:cs typeface="Arial"/>
            </a:rPr>
            <a:pPr algn="ctr"/>
            <a:t>Unknown</a:t>
          </a:fld>
          <a:endParaRPr lang="en-ZA" sz="1100" b="1" i="0">
            <a:solidFill>
              <a:srgbClr val="FF0000"/>
            </a:solidFill>
          </a:endParaRPr>
        </a:p>
      </xdr:txBody>
    </xdr:sp>
    <xdr:clientData/>
  </xdr:twoCellAnchor>
  <xdr:twoCellAnchor>
    <xdr:from>
      <xdr:col>1</xdr:col>
      <xdr:colOff>3395416</xdr:colOff>
      <xdr:row>59</xdr:row>
      <xdr:rowOff>243736</xdr:rowOff>
    </xdr:from>
    <xdr:to>
      <xdr:col>1</xdr:col>
      <xdr:colOff>4211636</xdr:colOff>
      <xdr:row>59</xdr:row>
      <xdr:rowOff>434384</xdr:rowOff>
    </xdr:to>
    <xdr:sp macro="" textlink="CALCULATORS!D64">
      <xdr:nvSpPr>
        <xdr:cNvPr id="32" name="Rectangle 31">
          <a:extLst>
            <a:ext uri="{FF2B5EF4-FFF2-40B4-BE49-F238E27FC236}">
              <a16:creationId xmlns:a16="http://schemas.microsoft.com/office/drawing/2014/main" id="{00000000-0008-0000-0200-000020000000}"/>
            </a:ext>
          </a:extLst>
        </xdr:cNvPr>
        <xdr:cNvSpPr/>
      </xdr:nvSpPr>
      <xdr:spPr>
        <a:xfrm>
          <a:off x="3395416" y="19093711"/>
          <a:ext cx="816220" cy="1906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7627CFE-656E-4801-8351-0EF83FE78A00}" type="TxLink">
            <a:rPr lang="en-US" sz="1000" b="1" i="0" u="none" strike="noStrike">
              <a:solidFill>
                <a:srgbClr val="FF0000"/>
              </a:solidFill>
              <a:latin typeface="Arial"/>
              <a:cs typeface="Arial"/>
            </a:rPr>
            <a:pPr algn="ctr"/>
            <a:t>Unknown</a:t>
          </a:fld>
          <a:endParaRPr lang="en-ZA" sz="1100" b="1" i="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1021080</xdr:colOff>
          <xdr:row>1</xdr:row>
          <xdr:rowOff>45720</xdr:rowOff>
        </xdr:from>
        <xdr:to>
          <xdr:col>6</xdr:col>
          <xdr:colOff>3337560</xdr:colOff>
          <xdr:row>1</xdr:row>
          <xdr:rowOff>472440</xdr:rowOff>
        </xdr:to>
        <xdr:sp macro="" textlink="">
          <xdr:nvSpPr>
            <xdr:cNvPr id="3074" name="CommandButton1"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3086100</xdr:colOff>
      <xdr:row>1</xdr:row>
      <xdr:rowOff>47625</xdr:rowOff>
    </xdr:from>
    <xdr:to>
      <xdr:col>1</xdr:col>
      <xdr:colOff>3746650</xdr:colOff>
      <xdr:row>1</xdr:row>
      <xdr:rowOff>708175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552450"/>
          <a:ext cx="660550" cy="660550"/>
        </a:xfrm>
        <a:prstGeom prst="rect">
          <a:avLst/>
        </a:prstGeom>
      </xdr:spPr>
    </xdr:pic>
    <xdr:clientData/>
  </xdr:twoCellAnchor>
  <xdr:twoCellAnchor editAs="oneCell">
    <xdr:from>
      <xdr:col>2</xdr:col>
      <xdr:colOff>57150</xdr:colOff>
      <xdr:row>0</xdr:row>
      <xdr:rowOff>357553</xdr:rowOff>
    </xdr:from>
    <xdr:to>
      <xdr:col>3</xdr:col>
      <xdr:colOff>329141</xdr:colOff>
      <xdr:row>2</xdr:row>
      <xdr:rowOff>5218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53" t="-1573" r="453" b="53065"/>
        <a:stretch/>
      </xdr:blipFill>
      <xdr:spPr>
        <a:xfrm>
          <a:off x="7515225" y="357553"/>
          <a:ext cx="1619250" cy="7854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1143000</xdr:colOff>
          <xdr:row>1</xdr:row>
          <xdr:rowOff>45720</xdr:rowOff>
        </xdr:from>
        <xdr:to>
          <xdr:col>8</xdr:col>
          <xdr:colOff>396240</xdr:colOff>
          <xdr:row>1</xdr:row>
          <xdr:rowOff>472440</xdr:rowOff>
        </xdr:to>
        <xdr:sp macro="" textlink="">
          <xdr:nvSpPr>
            <xdr:cNvPr id="4102" name="CommandButton1"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2362200</xdr:colOff>
      <xdr:row>1</xdr:row>
      <xdr:rowOff>47625</xdr:rowOff>
    </xdr:from>
    <xdr:to>
      <xdr:col>1</xdr:col>
      <xdr:colOff>3022750</xdr:colOff>
      <xdr:row>1</xdr:row>
      <xdr:rowOff>708175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6575" y="552450"/>
          <a:ext cx="660550" cy="660550"/>
        </a:xfrm>
        <a:prstGeom prst="rect">
          <a:avLst/>
        </a:prstGeom>
      </xdr:spPr>
    </xdr:pic>
    <xdr:clientData/>
  </xdr:twoCellAnchor>
  <xdr:twoCellAnchor editAs="oneCell">
    <xdr:from>
      <xdr:col>2</xdr:col>
      <xdr:colOff>38099</xdr:colOff>
      <xdr:row>0</xdr:row>
      <xdr:rowOff>495300</xdr:rowOff>
    </xdr:from>
    <xdr:to>
      <xdr:col>3</xdr:col>
      <xdr:colOff>179612</xdr:colOff>
      <xdr:row>2</xdr:row>
      <xdr:rowOff>9525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709" b="35090"/>
        <a:stretch/>
      </xdr:blipFill>
      <xdr:spPr>
        <a:xfrm>
          <a:off x="6534149" y="495300"/>
          <a:ext cx="1362075" cy="7715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1112520</xdr:colOff>
          <xdr:row>1</xdr:row>
          <xdr:rowOff>76200</xdr:rowOff>
        </xdr:from>
        <xdr:to>
          <xdr:col>5</xdr:col>
          <xdr:colOff>3436620</xdr:colOff>
          <xdr:row>1</xdr:row>
          <xdr:rowOff>502920</xdr:rowOff>
        </xdr:to>
        <xdr:sp macro="" textlink="">
          <xdr:nvSpPr>
            <xdr:cNvPr id="5125" name="CommandButton1"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0</xdr:colOff>
      <xdr:row>17</xdr:row>
      <xdr:rowOff>0</xdr:rowOff>
    </xdr:from>
    <xdr:to>
      <xdr:col>4</xdr:col>
      <xdr:colOff>304800</xdr:colOff>
      <xdr:row>17</xdr:row>
      <xdr:rowOff>304800</xdr:rowOff>
    </xdr:to>
    <xdr:sp macro="" textlink="">
      <xdr:nvSpPr>
        <xdr:cNvPr id="8193" name="AutoShape 1" descr="SAI Platform — Sustainable Agriculture Initiative Platform">
          <a:extLst>
            <a:ext uri="{FF2B5EF4-FFF2-40B4-BE49-F238E27FC236}">
              <a16:creationId xmlns:a16="http://schemas.microsoft.com/office/drawing/2014/main" id="{00000000-0008-0000-0500-000001200000}"/>
            </a:ext>
          </a:extLst>
        </xdr:cNvPr>
        <xdr:cNvSpPr>
          <a:spLocks noChangeAspect="1" noChangeArrowheads="1"/>
        </xdr:cNvSpPr>
      </xdr:nvSpPr>
      <xdr:spPr bwMode="auto">
        <a:xfrm>
          <a:off x="5314950" y="189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1123950</xdr:colOff>
      <xdr:row>1</xdr:row>
      <xdr:rowOff>38100</xdr:rowOff>
    </xdr:from>
    <xdr:to>
      <xdr:col>1</xdr:col>
      <xdr:colOff>1676399</xdr:colOff>
      <xdr:row>1</xdr:row>
      <xdr:rowOff>510978</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 y="209550"/>
          <a:ext cx="552449" cy="4728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1209675</xdr:colOff>
      <xdr:row>1</xdr:row>
      <xdr:rowOff>95250</xdr:rowOff>
    </xdr:from>
    <xdr:to>
      <xdr:col>1</xdr:col>
      <xdr:colOff>1870225</xdr:colOff>
      <xdr:row>1</xdr:row>
      <xdr:rowOff>755800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4050" y="600075"/>
          <a:ext cx="660550" cy="660550"/>
        </a:xfrm>
        <a:prstGeom prst="rect">
          <a:avLst/>
        </a:prstGeom>
      </xdr:spPr>
    </xdr:pic>
    <xdr:clientData/>
  </xdr:twoCellAnchor>
  <xdr:twoCellAnchor editAs="oneCell">
    <xdr:from>
      <xdr:col>2</xdr:col>
      <xdr:colOff>178595</xdr:colOff>
      <xdr:row>0</xdr:row>
      <xdr:rowOff>498230</xdr:rowOff>
    </xdr:from>
    <xdr:to>
      <xdr:col>3</xdr:col>
      <xdr:colOff>631033</xdr:colOff>
      <xdr:row>1</xdr:row>
      <xdr:rowOff>813288</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3880" b="14342"/>
        <a:stretch/>
      </xdr:blipFill>
      <xdr:spPr>
        <a:xfrm>
          <a:off x="6281922" y="498230"/>
          <a:ext cx="1368303" cy="8206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NOTES/SF1_12_14.pdf" TargetMode="External"/><Relationship Id="rId7" Type="http://schemas.openxmlformats.org/officeDocument/2006/relationships/drawing" Target="../drawings/drawing3.xml"/><Relationship Id="rId2" Type="http://schemas.openxmlformats.org/officeDocument/2006/relationships/hyperlink" Target="NOTES/SF1_11.pdf" TargetMode="External"/><Relationship Id="rId1" Type="http://schemas.openxmlformats.org/officeDocument/2006/relationships/hyperlink" Target="NOTES\SF1%205_6.pdf" TargetMode="External"/><Relationship Id="rId6" Type="http://schemas.openxmlformats.org/officeDocument/2006/relationships/printerSettings" Target="../printerSettings/printerSettings3.bin"/><Relationship Id="rId5" Type="http://schemas.openxmlformats.org/officeDocument/2006/relationships/hyperlink" Target="NOTES\SF1%201_4.pdf" TargetMode="External"/><Relationship Id="rId10" Type="http://schemas.openxmlformats.org/officeDocument/2006/relationships/image" Target="../media/image8.emf"/><Relationship Id="rId4" Type="http://schemas.openxmlformats.org/officeDocument/2006/relationships/hyperlink" Target="NOTES/SF1%207_10.pdf" TargetMode="External"/><Relationship Id="rId9"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8" Type="http://schemas.openxmlformats.org/officeDocument/2006/relationships/hyperlink" Target="NOTES/SF2%2015.pdf" TargetMode="External"/><Relationship Id="rId13" Type="http://schemas.openxmlformats.org/officeDocument/2006/relationships/printerSettings" Target="../printerSettings/printerSettings4.bin"/><Relationship Id="rId3" Type="http://schemas.openxmlformats.org/officeDocument/2006/relationships/hyperlink" Target="NOTES/SF2%204_7.pdf" TargetMode="External"/><Relationship Id="rId7" Type="http://schemas.openxmlformats.org/officeDocument/2006/relationships/hyperlink" Target="NOTES/SF2%2013_14.pdf" TargetMode="External"/><Relationship Id="rId12" Type="http://schemas.openxmlformats.org/officeDocument/2006/relationships/hyperlink" Target="NOTES/SF2%2011.pdf" TargetMode="External"/><Relationship Id="rId17" Type="http://schemas.openxmlformats.org/officeDocument/2006/relationships/image" Target="../media/image11.emf"/><Relationship Id="rId2" Type="http://schemas.openxmlformats.org/officeDocument/2006/relationships/hyperlink" Target="NOTES/SF2%202_3.pdf" TargetMode="External"/><Relationship Id="rId16" Type="http://schemas.openxmlformats.org/officeDocument/2006/relationships/control" Target="../activeX/activeX3.xml"/><Relationship Id="rId1" Type="http://schemas.openxmlformats.org/officeDocument/2006/relationships/hyperlink" Target="NOTES/SF2%201.pdf" TargetMode="External"/><Relationship Id="rId6" Type="http://schemas.openxmlformats.org/officeDocument/2006/relationships/hyperlink" Target="NOTES/SF2%2012.pdf" TargetMode="External"/><Relationship Id="rId11" Type="http://schemas.openxmlformats.org/officeDocument/2006/relationships/hyperlink" Target="NOTES/SF2%2020_22.pdf" TargetMode="External"/><Relationship Id="rId5" Type="http://schemas.openxmlformats.org/officeDocument/2006/relationships/hyperlink" Target="NOTES\SF2%2010.pdf" TargetMode="External"/><Relationship Id="rId15" Type="http://schemas.openxmlformats.org/officeDocument/2006/relationships/vmlDrawing" Target="../drawings/vmlDrawing3.vml"/><Relationship Id="rId10" Type="http://schemas.openxmlformats.org/officeDocument/2006/relationships/hyperlink" Target="NOTES/SF2%2017_19.pdf" TargetMode="External"/><Relationship Id="rId4" Type="http://schemas.openxmlformats.org/officeDocument/2006/relationships/hyperlink" Target="NOTES/SF2%208_9.pdf" TargetMode="External"/><Relationship Id="rId9" Type="http://schemas.openxmlformats.org/officeDocument/2006/relationships/hyperlink" Target="NOTES\SF2%2016.pdf"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hyperlink" Target="NOTES/SF3%2056_57.pdf" TargetMode="External"/><Relationship Id="rId18" Type="http://schemas.openxmlformats.org/officeDocument/2006/relationships/hyperlink" Target="NOTES/SF3%2062.pdf" TargetMode="External"/><Relationship Id="rId26" Type="http://schemas.openxmlformats.org/officeDocument/2006/relationships/hyperlink" Target="NOTES/SF3%2029.pdf" TargetMode="External"/><Relationship Id="rId39" Type="http://schemas.openxmlformats.org/officeDocument/2006/relationships/hyperlink" Target="NOTES/SF3%2024.pdf" TargetMode="External"/><Relationship Id="rId21" Type="http://schemas.openxmlformats.org/officeDocument/2006/relationships/hyperlink" Target="NOTES/SF3%2065.pdf" TargetMode="External"/><Relationship Id="rId34" Type="http://schemas.openxmlformats.org/officeDocument/2006/relationships/hyperlink" Target="NOTES/SF3%2040.pdf" TargetMode="External"/><Relationship Id="rId42" Type="http://schemas.openxmlformats.org/officeDocument/2006/relationships/hyperlink" Target="NOTES/SF3%2080_81.pdf" TargetMode="External"/><Relationship Id="rId47" Type="http://schemas.openxmlformats.org/officeDocument/2006/relationships/hyperlink" Target="NOTES/SF3%2079.pdf" TargetMode="External"/><Relationship Id="rId50" Type="http://schemas.openxmlformats.org/officeDocument/2006/relationships/hyperlink" Target="NOTES\SF3%2070_71.pdf" TargetMode="External"/><Relationship Id="rId55" Type="http://schemas.openxmlformats.org/officeDocument/2006/relationships/printerSettings" Target="../printerSettings/printerSettings5.bin"/><Relationship Id="rId7" Type="http://schemas.openxmlformats.org/officeDocument/2006/relationships/hyperlink" Target="NOTES/SF3%2016.pdf" TargetMode="External"/><Relationship Id="rId2" Type="http://schemas.openxmlformats.org/officeDocument/2006/relationships/hyperlink" Target="NOTES/SF3%208_10.pdf" TargetMode="External"/><Relationship Id="rId16" Type="http://schemas.openxmlformats.org/officeDocument/2006/relationships/hyperlink" Target="NOTES/SF3%2058_59.pdf" TargetMode="External"/><Relationship Id="rId29" Type="http://schemas.openxmlformats.org/officeDocument/2006/relationships/hyperlink" Target="NOTES/SF3%2035.pdf" TargetMode="External"/><Relationship Id="rId11" Type="http://schemas.openxmlformats.org/officeDocument/2006/relationships/hyperlink" Target="NOTES/SF3%2050.pdf" TargetMode="External"/><Relationship Id="rId24" Type="http://schemas.openxmlformats.org/officeDocument/2006/relationships/hyperlink" Target="NOTES\SF3%2027_28.pdf" TargetMode="External"/><Relationship Id="rId32" Type="http://schemas.openxmlformats.org/officeDocument/2006/relationships/hyperlink" Target="NOTES/SF3%2038_39.pdf" TargetMode="External"/><Relationship Id="rId37" Type="http://schemas.openxmlformats.org/officeDocument/2006/relationships/hyperlink" Target="NOTES/SF3%2021.pdf" TargetMode="External"/><Relationship Id="rId40" Type="http://schemas.openxmlformats.org/officeDocument/2006/relationships/hyperlink" Target="NOTES/SF3%2025_26.pdf" TargetMode="External"/><Relationship Id="rId45" Type="http://schemas.openxmlformats.org/officeDocument/2006/relationships/hyperlink" Target="NOTES\SF3%2076.pdf" TargetMode="External"/><Relationship Id="rId53" Type="http://schemas.openxmlformats.org/officeDocument/2006/relationships/hyperlink" Target="NOTES/SF3%203_4.pdf" TargetMode="External"/><Relationship Id="rId58" Type="http://schemas.openxmlformats.org/officeDocument/2006/relationships/control" Target="../activeX/activeX4.xml"/><Relationship Id="rId5" Type="http://schemas.openxmlformats.org/officeDocument/2006/relationships/hyperlink" Target="NOTES/SF3%2014.pdf" TargetMode="External"/><Relationship Id="rId19" Type="http://schemas.openxmlformats.org/officeDocument/2006/relationships/hyperlink" Target="NOTES/SF3%2063.pdf" TargetMode="External"/><Relationship Id="rId4" Type="http://schemas.openxmlformats.org/officeDocument/2006/relationships/hyperlink" Target="NOTES/SF3%2012_13.pdf" TargetMode="External"/><Relationship Id="rId9" Type="http://schemas.openxmlformats.org/officeDocument/2006/relationships/hyperlink" Target="NOTES/SF3%2043_44.pdf" TargetMode="External"/><Relationship Id="rId14" Type="http://schemas.openxmlformats.org/officeDocument/2006/relationships/hyperlink" Target="NOTES\SF3%2057.pdf" TargetMode="External"/><Relationship Id="rId22" Type="http://schemas.openxmlformats.org/officeDocument/2006/relationships/hyperlink" Target="NOTES/SF3%2066.pdf" TargetMode="External"/><Relationship Id="rId27" Type="http://schemas.openxmlformats.org/officeDocument/2006/relationships/hyperlink" Target="NOTES/SF3%2030_33.pdf" TargetMode="External"/><Relationship Id="rId30" Type="http://schemas.openxmlformats.org/officeDocument/2006/relationships/hyperlink" Target="NOTES/SF3%2036.pdf" TargetMode="External"/><Relationship Id="rId35" Type="http://schemas.openxmlformats.org/officeDocument/2006/relationships/hyperlink" Target="NOTES/SF3%2041_42.pdf" TargetMode="External"/><Relationship Id="rId43" Type="http://schemas.openxmlformats.org/officeDocument/2006/relationships/hyperlink" Target="NOTES/SF3%2081_82.pdf" TargetMode="External"/><Relationship Id="rId48" Type="http://schemas.openxmlformats.org/officeDocument/2006/relationships/hyperlink" Target="NOTES/SF3%2079.pdf" TargetMode="External"/><Relationship Id="rId56" Type="http://schemas.openxmlformats.org/officeDocument/2006/relationships/drawing" Target="../drawings/drawing5.xml"/><Relationship Id="rId8" Type="http://schemas.openxmlformats.org/officeDocument/2006/relationships/hyperlink" Target="NOTES/SF3%2017.pdf" TargetMode="External"/><Relationship Id="rId51" Type="http://schemas.openxmlformats.org/officeDocument/2006/relationships/hyperlink" Target="NOTES/SF3%2072_74.pdf" TargetMode="External"/><Relationship Id="rId3" Type="http://schemas.openxmlformats.org/officeDocument/2006/relationships/hyperlink" Target="NOTES/SF3%205_7.pdf" TargetMode="External"/><Relationship Id="rId12" Type="http://schemas.openxmlformats.org/officeDocument/2006/relationships/hyperlink" Target="NOTES/SF3%2051_55.pdf" TargetMode="External"/><Relationship Id="rId17" Type="http://schemas.openxmlformats.org/officeDocument/2006/relationships/hyperlink" Target="NOTES/SF3%2060_61.pdf" TargetMode="External"/><Relationship Id="rId25" Type="http://schemas.openxmlformats.org/officeDocument/2006/relationships/hyperlink" Target="NOTES/SF3%2029.pdf" TargetMode="External"/><Relationship Id="rId33" Type="http://schemas.openxmlformats.org/officeDocument/2006/relationships/hyperlink" Target="NOTES/SF3%2039.pdf" TargetMode="External"/><Relationship Id="rId38" Type="http://schemas.openxmlformats.org/officeDocument/2006/relationships/hyperlink" Target="NOTES/SF3%2022_23.pdf" TargetMode="External"/><Relationship Id="rId46" Type="http://schemas.openxmlformats.org/officeDocument/2006/relationships/hyperlink" Target="NOTES/SF3%2077_78.pdf" TargetMode="External"/><Relationship Id="rId59" Type="http://schemas.openxmlformats.org/officeDocument/2006/relationships/image" Target="../media/image14.emf"/><Relationship Id="rId20" Type="http://schemas.openxmlformats.org/officeDocument/2006/relationships/hyperlink" Target="NOTES/SF3%2064.pdf" TargetMode="External"/><Relationship Id="rId41" Type="http://schemas.openxmlformats.org/officeDocument/2006/relationships/hyperlink" Target="NOTES/SF3%2080.pdf" TargetMode="External"/><Relationship Id="rId54" Type="http://schemas.openxmlformats.org/officeDocument/2006/relationships/hyperlink" Target="NOTES/SF3%2067_69.pdf" TargetMode="External"/><Relationship Id="rId1" Type="http://schemas.openxmlformats.org/officeDocument/2006/relationships/hyperlink" Target="NOTES\SF3%201_2.pdf" TargetMode="External"/><Relationship Id="rId6" Type="http://schemas.openxmlformats.org/officeDocument/2006/relationships/hyperlink" Target="NOTES/SF3%2015.pdf" TargetMode="External"/><Relationship Id="rId15" Type="http://schemas.openxmlformats.org/officeDocument/2006/relationships/hyperlink" Target="NOTES/SF3%2058.pdf" TargetMode="External"/><Relationship Id="rId23" Type="http://schemas.openxmlformats.org/officeDocument/2006/relationships/hyperlink" Target="NOTES/SF3%2020.pdf" TargetMode="External"/><Relationship Id="rId28" Type="http://schemas.openxmlformats.org/officeDocument/2006/relationships/hyperlink" Target="NOTES/SF3%2034_35.pdf" TargetMode="External"/><Relationship Id="rId36" Type="http://schemas.openxmlformats.org/officeDocument/2006/relationships/hyperlink" Target="NOTES/SF3%2021.pdf" TargetMode="External"/><Relationship Id="rId49" Type="http://schemas.openxmlformats.org/officeDocument/2006/relationships/hyperlink" Target="NOTES\SF3%2011.pdf" TargetMode="External"/><Relationship Id="rId57" Type="http://schemas.openxmlformats.org/officeDocument/2006/relationships/vmlDrawing" Target="../drawings/vmlDrawing4.vml"/><Relationship Id="rId10" Type="http://schemas.openxmlformats.org/officeDocument/2006/relationships/hyperlink" Target="NOTES/SF3%2045_49.pdf" TargetMode="External"/><Relationship Id="rId31" Type="http://schemas.openxmlformats.org/officeDocument/2006/relationships/hyperlink" Target="NOTES/SF3%2036_37.pdf" TargetMode="External"/><Relationship Id="rId44" Type="http://schemas.openxmlformats.org/officeDocument/2006/relationships/hyperlink" Target="NOTES/SF3%2075.pdf" TargetMode="External"/><Relationship Id="rId52" Type="http://schemas.openxmlformats.org/officeDocument/2006/relationships/hyperlink" Target="NOTES/SF3%2018_19.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V73"/>
  <sheetViews>
    <sheetView showGridLines="0" tabSelected="1" zoomScaleNormal="100" workbookViewId="0"/>
  </sheetViews>
  <sheetFormatPr defaultColWidth="9.109375" defaultRowHeight="13.2" x14ac:dyDescent="0.25"/>
  <cols>
    <col min="1" max="1" width="10.6640625" customWidth="1"/>
    <col min="2" max="2" width="5.6640625" customWidth="1"/>
    <col min="3" max="7" width="20.6640625" customWidth="1"/>
  </cols>
  <sheetData>
    <row r="1" spans="3:22" ht="39.9" customHeight="1" x14ac:dyDescent="0.25"/>
    <row r="2" spans="3:22" ht="12.75" customHeight="1" x14ac:dyDescent="0.25">
      <c r="C2" t="s">
        <v>300</v>
      </c>
    </row>
    <row r="3" spans="3:22" x14ac:dyDescent="0.25">
      <c r="C3" s="373" t="s">
        <v>299</v>
      </c>
      <c r="D3" s="374"/>
      <c r="E3" s="374"/>
    </row>
    <row r="4" spans="3:22" ht="21" x14ac:dyDescent="0.4">
      <c r="V4" s="137"/>
    </row>
    <row r="26" ht="7.5" customHeight="1" x14ac:dyDescent="0.25"/>
    <row r="66" spans="2:7" x14ac:dyDescent="0.25">
      <c r="C66" s="375" t="s">
        <v>1423</v>
      </c>
      <c r="D66" s="375"/>
    </row>
    <row r="67" spans="2:7" x14ac:dyDescent="0.25">
      <c r="C67" t="s">
        <v>1582</v>
      </c>
    </row>
    <row r="68" spans="2:7" x14ac:dyDescent="0.25">
      <c r="C68" s="2" t="s">
        <v>1583</v>
      </c>
    </row>
    <row r="69" spans="2:7" ht="17.399999999999999" x14ac:dyDescent="0.25">
      <c r="G69" s="138"/>
    </row>
    <row r="72" spans="2:7" ht="13.8" x14ac:dyDescent="0.25">
      <c r="E72" s="139"/>
    </row>
    <row r="73" spans="2:7" x14ac:dyDescent="0.25">
      <c r="B73" s="140"/>
    </row>
  </sheetData>
  <sheetProtection algorithmName="SHA-512" hashValue="Vz/8ocPpBICAmo23Umb3S3HFxIvZruziLj05rV/2kejsS1FKNReHuCEc+oogCsCdbGderIySrok4+v3ZPn0vRw==" saltValue="FzUJZDQNED7zU5h8DjmUvw==" spinCount="100000" sheet="1" objects="1" scenarios="1" selectLockedCells="1"/>
  <mergeCells count="2">
    <mergeCell ref="C3:E3"/>
    <mergeCell ref="C66:D6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1:K97"/>
  <sheetViews>
    <sheetView showGridLines="0" zoomScaleNormal="100" workbookViewId="0">
      <selection activeCell="C4" sqref="C4:E4"/>
    </sheetView>
  </sheetViews>
  <sheetFormatPr defaultColWidth="9.109375" defaultRowHeight="13.2" x14ac:dyDescent="0.25"/>
  <cols>
    <col min="1" max="1" width="5.88671875" customWidth="1"/>
    <col min="2" max="2" width="89.6640625" customWidth="1"/>
    <col min="3" max="3" width="19.88671875" customWidth="1"/>
    <col min="4" max="4" width="20.44140625" customWidth="1"/>
    <col min="5" max="5" width="13.88671875" customWidth="1"/>
    <col min="6" max="6" width="61.88671875" style="295" customWidth="1"/>
    <col min="7" max="7" width="25.5546875" customWidth="1"/>
    <col min="11" max="11" width="21.109375" customWidth="1"/>
  </cols>
  <sheetData>
    <row r="1" spans="2:6" ht="30" customHeight="1" thickBot="1" x14ac:dyDescent="0.3">
      <c r="F1" s="17"/>
    </row>
    <row r="2" spans="2:6" s="6" customFormat="1" ht="60" customHeight="1" thickBot="1" x14ac:dyDescent="0.3">
      <c r="B2" s="376" t="s">
        <v>311</v>
      </c>
      <c r="C2" s="377"/>
      <c r="D2" s="377"/>
      <c r="E2" s="378"/>
      <c r="F2" s="295"/>
    </row>
    <row r="3" spans="2:6" ht="21" customHeight="1" thickBot="1" x14ac:dyDescent="0.3">
      <c r="B3" s="379" t="s">
        <v>116</v>
      </c>
      <c r="C3" s="380"/>
      <c r="D3" s="380"/>
      <c r="E3" s="381"/>
      <c r="F3" s="296" t="s">
        <v>107</v>
      </c>
    </row>
    <row r="4" spans="2:6" s="6" customFormat="1" ht="20.100000000000001" customHeight="1" x14ac:dyDescent="0.25">
      <c r="B4" s="151" t="s">
        <v>102</v>
      </c>
      <c r="C4" s="382"/>
      <c r="D4" s="383"/>
      <c r="E4" s="384"/>
      <c r="F4" s="297"/>
    </row>
    <row r="5" spans="2:6" s="6" customFormat="1" ht="20.100000000000001" customHeight="1" x14ac:dyDescent="0.25">
      <c r="B5" s="152" t="s">
        <v>106</v>
      </c>
      <c r="C5" s="388"/>
      <c r="D5" s="389"/>
      <c r="E5" s="390"/>
      <c r="F5" s="297"/>
    </row>
    <row r="6" spans="2:6" s="6" customFormat="1" ht="20.100000000000001" customHeight="1" x14ac:dyDescent="0.25">
      <c r="B6" s="153" t="s">
        <v>103</v>
      </c>
      <c r="C6" s="388"/>
      <c r="D6" s="389"/>
      <c r="E6" s="390"/>
      <c r="F6" s="297"/>
    </row>
    <row r="7" spans="2:6" s="6" customFormat="1" ht="20.100000000000001" customHeight="1" x14ac:dyDescent="0.25">
      <c r="B7" s="154" t="s">
        <v>374</v>
      </c>
      <c r="C7" s="397"/>
      <c r="D7" s="398"/>
      <c r="E7" s="399"/>
      <c r="F7" s="297"/>
    </row>
    <row r="8" spans="2:6" s="6" customFormat="1" ht="20.100000000000001" customHeight="1" x14ac:dyDescent="0.25">
      <c r="B8" s="155" t="s">
        <v>159</v>
      </c>
      <c r="C8" s="388"/>
      <c r="D8" s="389"/>
      <c r="E8" s="390"/>
      <c r="F8" s="297"/>
    </row>
    <row r="9" spans="2:6" s="6" customFormat="1" ht="20.100000000000001" customHeight="1" x14ac:dyDescent="0.25">
      <c r="B9" s="155" t="s">
        <v>184</v>
      </c>
      <c r="C9" s="388"/>
      <c r="D9" s="389"/>
      <c r="E9" s="390"/>
      <c r="F9" s="297"/>
    </row>
    <row r="10" spans="2:6" s="6" customFormat="1" ht="20.100000000000001" customHeight="1" x14ac:dyDescent="0.25">
      <c r="B10" s="155" t="s">
        <v>270</v>
      </c>
      <c r="C10" s="394" t="s">
        <v>1585</v>
      </c>
      <c r="D10" s="395"/>
      <c r="E10" s="396"/>
      <c r="F10" s="299"/>
    </row>
    <row r="11" spans="2:6" s="6" customFormat="1" ht="20.100000000000001" customHeight="1" thickBot="1" x14ac:dyDescent="0.3">
      <c r="B11" s="156" t="s">
        <v>359</v>
      </c>
      <c r="C11" s="391"/>
      <c r="D11" s="392"/>
      <c r="E11" s="393"/>
      <c r="F11" s="299"/>
    </row>
    <row r="12" spans="2:6" s="6" customFormat="1" ht="20.100000000000001" customHeight="1" thickBot="1" x14ac:dyDescent="0.3">
      <c r="B12" s="400" t="str">
        <f>IF(C18&gt;C14,"Error: Area under sugarcane cannot be greater than total farm area!","")</f>
        <v/>
      </c>
      <c r="C12" s="400"/>
      <c r="D12" s="400"/>
      <c r="E12" s="401"/>
      <c r="F12" s="300"/>
    </row>
    <row r="13" spans="2:6" s="6" customFormat="1" ht="20.100000000000001" customHeight="1" thickBot="1" x14ac:dyDescent="0.3">
      <c r="B13" s="385" t="s">
        <v>117</v>
      </c>
      <c r="C13" s="386"/>
      <c r="D13" s="386"/>
      <c r="E13" s="387"/>
      <c r="F13" s="299"/>
    </row>
    <row r="14" spans="2:6" s="6" customFormat="1" ht="20.100000000000001" customHeight="1" x14ac:dyDescent="0.25">
      <c r="B14" s="152" t="s">
        <v>104</v>
      </c>
      <c r="C14" s="142"/>
      <c r="D14" s="34" t="s">
        <v>154</v>
      </c>
      <c r="E14" s="35"/>
      <c r="F14" s="298"/>
    </row>
    <row r="15" spans="2:6" s="6" customFormat="1" ht="20.100000000000001" customHeight="1" x14ac:dyDescent="0.25">
      <c r="B15" s="155" t="s">
        <v>272</v>
      </c>
      <c r="C15" s="143"/>
      <c r="D15" s="36" t="s">
        <v>154</v>
      </c>
      <c r="E15" s="37"/>
      <c r="F15" s="297"/>
    </row>
    <row r="16" spans="2:6" s="6" customFormat="1" ht="20.100000000000001" customHeight="1" x14ac:dyDescent="0.25">
      <c r="B16" s="155" t="s">
        <v>273</v>
      </c>
      <c r="C16" s="143"/>
      <c r="D16" s="36" t="s">
        <v>154</v>
      </c>
      <c r="E16" s="37"/>
      <c r="F16" s="297"/>
    </row>
    <row r="17" spans="2:7" s="6" customFormat="1" ht="20.100000000000001" customHeight="1" x14ac:dyDescent="0.25">
      <c r="B17" s="155" t="s">
        <v>274</v>
      </c>
      <c r="C17" s="143"/>
      <c r="D17" s="36" t="s">
        <v>154</v>
      </c>
      <c r="E17" s="37"/>
      <c r="F17" s="297"/>
    </row>
    <row r="18" spans="2:7" s="6" customFormat="1" ht="20.100000000000001" customHeight="1" x14ac:dyDescent="0.25">
      <c r="B18" s="155" t="s">
        <v>275</v>
      </c>
      <c r="C18" s="144">
        <f>SUM(C15:C17)</f>
        <v>0</v>
      </c>
      <c r="D18" s="411" t="str">
        <f>IF(C18&gt;C14,"ERROR! Total area exceeds farm size.","")</f>
        <v/>
      </c>
      <c r="E18" s="412"/>
      <c r="F18" s="298"/>
    </row>
    <row r="19" spans="2:7" s="6" customFormat="1" ht="20.100000000000001" customHeight="1" x14ac:dyDescent="0.25">
      <c r="B19" s="155" t="s">
        <v>118</v>
      </c>
      <c r="C19" s="145"/>
      <c r="D19" s="406" t="s">
        <v>325</v>
      </c>
      <c r="E19" s="407"/>
      <c r="F19" s="297"/>
    </row>
    <row r="20" spans="2:7" s="6" customFormat="1" ht="20.100000000000001" customHeight="1" x14ac:dyDescent="0.25">
      <c r="B20" s="155" t="s">
        <v>305</v>
      </c>
      <c r="C20" s="350"/>
      <c r="D20" s="38" t="s">
        <v>155</v>
      </c>
      <c r="E20" s="39"/>
      <c r="F20" s="297"/>
    </row>
    <row r="21" spans="2:7" s="6" customFormat="1" ht="20.100000000000001" customHeight="1" x14ac:dyDescent="0.25">
      <c r="B21" s="153" t="s">
        <v>276</v>
      </c>
      <c r="C21" s="408"/>
      <c r="D21" s="409"/>
      <c r="E21" s="410"/>
      <c r="F21" s="297"/>
    </row>
    <row r="22" spans="2:7" s="6" customFormat="1" ht="39.9" customHeight="1" x14ac:dyDescent="0.25">
      <c r="B22" s="154" t="s">
        <v>828</v>
      </c>
      <c r="C22" s="145"/>
      <c r="D22" s="422"/>
      <c r="E22" s="423"/>
      <c r="F22" s="297"/>
    </row>
    <row r="23" spans="2:7" s="6" customFormat="1" ht="20.100000000000001" customHeight="1" x14ac:dyDescent="0.25">
      <c r="B23" s="155" t="s">
        <v>851</v>
      </c>
      <c r="C23" s="143"/>
      <c r="D23" s="422"/>
      <c r="E23" s="423"/>
      <c r="F23" s="297"/>
    </row>
    <row r="24" spans="2:7" s="6" customFormat="1" ht="20.100000000000001" customHeight="1" x14ac:dyDescent="0.25">
      <c r="B24" s="246" t="s">
        <v>1209</v>
      </c>
      <c r="C24" s="143"/>
      <c r="D24" s="422"/>
      <c r="E24" s="423"/>
      <c r="F24" s="297"/>
    </row>
    <row r="25" spans="2:7" s="6" customFormat="1" ht="39.9" customHeight="1" x14ac:dyDescent="0.25">
      <c r="B25" s="246" t="s">
        <v>856</v>
      </c>
      <c r="C25" s="143"/>
      <c r="D25" s="215"/>
      <c r="E25" s="39"/>
      <c r="F25" s="297"/>
    </row>
    <row r="26" spans="2:7" s="6" customFormat="1" ht="20.100000000000001" customHeight="1" x14ac:dyDescent="0.25">
      <c r="B26" s="246" t="s">
        <v>879</v>
      </c>
      <c r="C26" s="143"/>
      <c r="D26" s="215"/>
      <c r="E26" s="39"/>
      <c r="F26" s="297"/>
    </row>
    <row r="27" spans="2:7" s="6" customFormat="1" ht="20.100000000000001" customHeight="1" thickBot="1" x14ac:dyDescent="0.3">
      <c r="B27" s="155" t="s">
        <v>824</v>
      </c>
      <c r="C27" s="270"/>
      <c r="D27" s="424"/>
      <c r="E27" s="425"/>
      <c r="F27" s="297"/>
    </row>
    <row r="28" spans="2:7" s="6" customFormat="1" ht="13.8" thickBot="1" x14ac:dyDescent="0.3">
      <c r="B28" s="40"/>
      <c r="C28" s="41"/>
      <c r="D28" s="42"/>
      <c r="E28" s="46"/>
      <c r="F28" s="297"/>
    </row>
    <row r="29" spans="2:7" s="6" customFormat="1" ht="36" customHeight="1" thickBot="1" x14ac:dyDescent="0.3">
      <c r="B29" s="416" t="s">
        <v>789</v>
      </c>
      <c r="C29" s="417"/>
      <c r="D29" s="417"/>
      <c r="E29" s="418"/>
      <c r="F29" s="301"/>
      <c r="G29" s="210"/>
    </row>
    <row r="30" spans="2:7" s="6" customFormat="1" ht="52.8" x14ac:dyDescent="0.25">
      <c r="B30" s="157" t="s">
        <v>115</v>
      </c>
      <c r="C30" s="163" t="s">
        <v>119</v>
      </c>
      <c r="D30" s="351" t="s">
        <v>790</v>
      </c>
      <c r="E30" s="351" t="s">
        <v>832</v>
      </c>
      <c r="F30" s="303"/>
    </row>
    <row r="31" spans="2:7" s="6" customFormat="1" ht="20.100000000000001" customHeight="1" x14ac:dyDescent="0.25">
      <c r="B31" s="152" t="s">
        <v>112</v>
      </c>
      <c r="C31" s="146"/>
      <c r="D31" s="146"/>
      <c r="E31" s="147"/>
      <c r="F31" s="301"/>
    </row>
    <row r="32" spans="2:7" s="6" customFormat="1" ht="20.100000000000001" customHeight="1" x14ac:dyDescent="0.25">
      <c r="B32" s="153" t="s">
        <v>113</v>
      </c>
      <c r="C32" s="148"/>
      <c r="D32" s="146"/>
      <c r="E32" s="147"/>
      <c r="F32" s="301"/>
    </row>
    <row r="33" spans="2:11" s="6" customFormat="1" ht="20.100000000000001" customHeight="1" x14ac:dyDescent="0.25">
      <c r="B33" s="153" t="s">
        <v>114</v>
      </c>
      <c r="C33" s="148"/>
      <c r="D33" s="146"/>
      <c r="E33" s="147"/>
      <c r="F33" s="301"/>
    </row>
    <row r="34" spans="2:11" s="6" customFormat="1" ht="20.100000000000001" hidden="1" customHeight="1" x14ac:dyDescent="0.25">
      <c r="B34" s="337" t="s">
        <v>112</v>
      </c>
      <c r="C34" s="334">
        <f>IF(C15=0,0,C31)</f>
        <v>0</v>
      </c>
      <c r="D34" s="334">
        <f>IF(C15=0,0,IF(C31=0,0,D31))</f>
        <v>0</v>
      </c>
      <c r="E34" s="335"/>
      <c r="F34" s="333"/>
    </row>
    <row r="35" spans="2:11" s="6" customFormat="1" ht="20.100000000000001" hidden="1" customHeight="1" x14ac:dyDescent="0.25">
      <c r="B35" s="338" t="s">
        <v>113</v>
      </c>
      <c r="C35" s="334">
        <f t="shared" ref="C35:C36" si="0">IF(C16=0,0,C32)</f>
        <v>0</v>
      </c>
      <c r="D35" s="334">
        <f t="shared" ref="D35:D36" si="1">IF(C16=0,0,IF(C32=0,0,D32))</f>
        <v>0</v>
      </c>
      <c r="E35" s="335"/>
      <c r="F35" s="333"/>
    </row>
    <row r="36" spans="2:11" s="6" customFormat="1" ht="20.100000000000001" hidden="1" customHeight="1" x14ac:dyDescent="0.25">
      <c r="B36" s="338" t="s">
        <v>114</v>
      </c>
      <c r="C36" s="334">
        <f t="shared" si="0"/>
        <v>0</v>
      </c>
      <c r="D36" s="334">
        <f t="shared" si="1"/>
        <v>0</v>
      </c>
      <c r="E36" s="336"/>
      <c r="F36" s="333"/>
    </row>
    <row r="37" spans="2:11" s="6" customFormat="1" ht="73.2" customHeight="1" thickBot="1" x14ac:dyDescent="0.3">
      <c r="B37" s="158" t="s">
        <v>40</v>
      </c>
      <c r="C37" s="149">
        <f>SUM(C34:C36)</f>
        <v>0</v>
      </c>
      <c r="D37" s="149">
        <f>SUM(D34:D36)</f>
        <v>0</v>
      </c>
      <c r="E37" s="352"/>
      <c r="F37" s="297"/>
    </row>
    <row r="38" spans="2:11" s="6" customFormat="1" ht="19.95" customHeight="1" thickBot="1" x14ac:dyDescent="0.3">
      <c r="B38" s="426" t="str">
        <f>IF(OR(AND(C31&gt;C15,C15&gt;0),AND(C32&gt;C16,C16&gt;0),AND(C33&gt;C17,C17&gt;0)),"ERROR! Area harvested in any category cannot exceed area available!","")</f>
        <v/>
      </c>
      <c r="C38" s="426"/>
      <c r="D38" s="426"/>
      <c r="E38" s="426"/>
      <c r="F38" s="297"/>
    </row>
    <row r="39" spans="2:11" s="6" customFormat="1" ht="65.25" customHeight="1" x14ac:dyDescent="0.25">
      <c r="B39" s="419" t="s">
        <v>1381</v>
      </c>
      <c r="C39" s="420"/>
      <c r="D39" s="420"/>
      <c r="E39" s="421"/>
      <c r="F39" s="339" t="s">
        <v>1193</v>
      </c>
      <c r="G39" s="413" t="s">
        <v>390</v>
      </c>
      <c r="H39" s="414"/>
      <c r="I39" s="414"/>
      <c r="J39" s="414"/>
      <c r="K39" s="415"/>
    </row>
    <row r="40" spans="2:11" ht="20.100000000000001" customHeight="1" x14ac:dyDescent="0.25">
      <c r="B40" s="159" t="s">
        <v>200</v>
      </c>
      <c r="C40" s="167" t="s">
        <v>1390</v>
      </c>
      <c r="D40" s="168"/>
      <c r="E40" s="32" t="s">
        <v>202</v>
      </c>
      <c r="F40" s="302"/>
      <c r="G40" s="276" t="s">
        <v>388</v>
      </c>
      <c r="H40" s="347"/>
      <c r="I40" s="277"/>
      <c r="J40" s="277"/>
      <c r="K40" s="277"/>
    </row>
    <row r="41" spans="2:11" ht="20.100000000000001" customHeight="1" x14ac:dyDescent="0.25">
      <c r="B41" s="159" t="s">
        <v>198</v>
      </c>
      <c r="C41" s="167" t="s">
        <v>1390</v>
      </c>
      <c r="D41" s="168"/>
      <c r="E41" s="32" t="s">
        <v>331</v>
      </c>
      <c r="F41" s="303"/>
      <c r="G41" s="276"/>
      <c r="H41" s="278" t="s">
        <v>384</v>
      </c>
      <c r="I41" s="278" t="s">
        <v>385</v>
      </c>
      <c r="J41" s="278" t="s">
        <v>386</v>
      </c>
      <c r="K41" s="278" t="s">
        <v>387</v>
      </c>
    </row>
    <row r="42" spans="2:11" ht="20.100000000000001" customHeight="1" x14ac:dyDescent="0.25">
      <c r="B42" s="159" t="s">
        <v>203</v>
      </c>
      <c r="C42" s="167" t="s">
        <v>1390</v>
      </c>
      <c r="D42" s="168"/>
      <c r="E42" s="32" t="s">
        <v>185</v>
      </c>
      <c r="F42" s="303"/>
      <c r="G42" s="276" t="s">
        <v>389</v>
      </c>
      <c r="H42" s="347"/>
      <c r="I42" s="347"/>
      <c r="J42" s="347"/>
      <c r="K42" s="347"/>
    </row>
    <row r="43" spans="2:11" ht="20.100000000000001" customHeight="1" x14ac:dyDescent="0.25">
      <c r="B43" s="159" t="s">
        <v>204</v>
      </c>
      <c r="C43" s="167" t="s">
        <v>1390</v>
      </c>
      <c r="D43" s="168"/>
      <c r="E43" s="32" t="s">
        <v>185</v>
      </c>
      <c r="F43" s="303"/>
      <c r="G43" s="276" t="s">
        <v>391</v>
      </c>
      <c r="H43" s="279">
        <f>IF(H42=0,0,(H40*K42/100)/(SUM(H42:J42)/H42))</f>
        <v>0</v>
      </c>
      <c r="I43" s="279">
        <f>IF(I42=0,0,(H40*K42/100)/(SUM(H42:J42)/I42))</f>
        <v>0</v>
      </c>
      <c r="J43" s="279">
        <f>IF(J42=0,0,(H40*K42/100)/(SUM(H42:J42)/J42))</f>
        <v>0</v>
      </c>
      <c r="K43" s="278"/>
    </row>
    <row r="44" spans="2:11" ht="20.100000000000001" customHeight="1" x14ac:dyDescent="0.25">
      <c r="B44" s="159" t="s">
        <v>271</v>
      </c>
      <c r="C44" s="167" t="s">
        <v>1390</v>
      </c>
      <c r="D44" s="168"/>
      <c r="E44" s="32" t="s">
        <v>296</v>
      </c>
      <c r="F44" s="303"/>
      <c r="G44" s="404"/>
      <c r="H44" s="405"/>
      <c r="I44" s="405"/>
      <c r="J44" s="405"/>
      <c r="K44" s="405"/>
    </row>
    <row r="45" spans="2:11" ht="20.100000000000001" customHeight="1" x14ac:dyDescent="0.25">
      <c r="B45" s="159" t="s">
        <v>375</v>
      </c>
      <c r="C45" s="167" t="s">
        <v>1390</v>
      </c>
      <c r="D45" s="168"/>
      <c r="E45" s="32" t="s">
        <v>326</v>
      </c>
      <c r="F45" s="303"/>
    </row>
    <row r="46" spans="2:11" ht="20.100000000000001" customHeight="1" x14ac:dyDescent="0.25">
      <c r="B46" s="159" t="s">
        <v>376</v>
      </c>
      <c r="C46" s="167" t="s">
        <v>1390</v>
      </c>
      <c r="D46" s="168"/>
      <c r="E46" s="32" t="s">
        <v>326</v>
      </c>
      <c r="F46" s="303"/>
    </row>
    <row r="47" spans="2:11" ht="20.100000000000001" customHeight="1" x14ac:dyDescent="0.25">
      <c r="B47" s="159" t="s">
        <v>377</v>
      </c>
      <c r="C47" s="167" t="s">
        <v>1390</v>
      </c>
      <c r="D47" s="168"/>
      <c r="E47" s="32" t="s">
        <v>326</v>
      </c>
      <c r="F47" s="303"/>
    </row>
    <row r="48" spans="2:11" ht="20.100000000000001" customHeight="1" x14ac:dyDescent="0.25">
      <c r="B48" s="159" t="s">
        <v>378</v>
      </c>
      <c r="C48" s="167" t="s">
        <v>1390</v>
      </c>
      <c r="D48" s="168"/>
      <c r="E48" s="32" t="s">
        <v>326</v>
      </c>
      <c r="F48" s="303"/>
    </row>
    <row r="49" spans="2:10" ht="20.100000000000001" customHeight="1" x14ac:dyDescent="0.25">
      <c r="B49" s="159" t="s">
        <v>829</v>
      </c>
      <c r="C49" s="167"/>
      <c r="D49" s="31"/>
      <c r="E49" s="32"/>
      <c r="F49" s="303"/>
    </row>
    <row r="50" spans="2:10" ht="20.100000000000001" customHeight="1" x14ac:dyDescent="0.25">
      <c r="B50" s="285" t="s">
        <v>205</v>
      </c>
      <c r="C50" s="402" t="s">
        <v>1581</v>
      </c>
      <c r="D50" s="287"/>
      <c r="E50" s="288"/>
      <c r="F50" s="303"/>
      <c r="G50" s="6"/>
      <c r="H50" s="6"/>
      <c r="I50" s="6"/>
      <c r="J50" s="6"/>
    </row>
    <row r="51" spans="2:10" ht="114" customHeight="1" x14ac:dyDescent="0.25">
      <c r="B51" s="284" t="s">
        <v>1584</v>
      </c>
      <c r="C51" s="403"/>
      <c r="D51" s="289"/>
      <c r="E51" s="286"/>
      <c r="F51" s="303"/>
      <c r="G51" s="6"/>
      <c r="H51" s="6"/>
      <c r="I51" s="6"/>
      <c r="J51" s="6"/>
    </row>
    <row r="52" spans="2:10" ht="36.75" customHeight="1" x14ac:dyDescent="0.25">
      <c r="B52" s="161" t="s">
        <v>208</v>
      </c>
      <c r="C52" s="162" t="s">
        <v>360</v>
      </c>
      <c r="D52" s="162" t="s">
        <v>207</v>
      </c>
      <c r="E52" s="48"/>
      <c r="F52" s="303"/>
      <c r="H52" s="6"/>
      <c r="I52" s="6"/>
      <c r="J52" s="6"/>
    </row>
    <row r="53" spans="2:10" ht="20.100000000000001" customHeight="1" x14ac:dyDescent="0.25">
      <c r="B53" s="160"/>
      <c r="C53" s="168"/>
      <c r="D53" s="169" t="str">
        <f t="shared" ref="D53:D67" si="2">IFERROR(VLOOKUP(B53,AGROCHEMTAB,2),"")</f>
        <v/>
      </c>
      <c r="E53" s="126">
        <f t="shared" ref="E53:E67" si="3">IFERROR(C53*D53,0)</f>
        <v>0</v>
      </c>
      <c r="F53" s="303"/>
      <c r="H53" s="6"/>
      <c r="I53" s="6"/>
      <c r="J53" s="6"/>
    </row>
    <row r="54" spans="2:10" ht="20.100000000000001" customHeight="1" x14ac:dyDescent="0.25">
      <c r="B54" s="160"/>
      <c r="C54" s="168"/>
      <c r="D54" s="169" t="str">
        <f t="shared" si="2"/>
        <v/>
      </c>
      <c r="E54" s="126">
        <f t="shared" si="3"/>
        <v>0</v>
      </c>
      <c r="F54" s="303"/>
      <c r="G54" s="6"/>
      <c r="H54" s="6"/>
      <c r="I54" s="6"/>
      <c r="J54" s="6"/>
    </row>
    <row r="55" spans="2:10" ht="20.100000000000001" customHeight="1" x14ac:dyDescent="0.25">
      <c r="B55" s="160"/>
      <c r="C55" s="168"/>
      <c r="D55" s="169" t="str">
        <f t="shared" si="2"/>
        <v/>
      </c>
      <c r="E55" s="126">
        <f t="shared" si="3"/>
        <v>0</v>
      </c>
      <c r="F55" s="303"/>
      <c r="G55" s="6"/>
      <c r="H55" s="6"/>
      <c r="I55" s="6"/>
      <c r="J55" s="6"/>
    </row>
    <row r="56" spans="2:10" ht="20.100000000000001" customHeight="1" x14ac:dyDescent="0.25">
      <c r="B56" s="160"/>
      <c r="C56" s="168"/>
      <c r="D56" s="169" t="str">
        <f t="shared" si="2"/>
        <v/>
      </c>
      <c r="E56" s="126">
        <f t="shared" si="3"/>
        <v>0</v>
      </c>
      <c r="F56" s="303"/>
      <c r="G56" s="6"/>
      <c r="H56" s="6"/>
      <c r="I56" s="6"/>
      <c r="J56" s="6"/>
    </row>
    <row r="57" spans="2:10" ht="20.100000000000001" customHeight="1" x14ac:dyDescent="0.25">
      <c r="B57" s="160"/>
      <c r="C57" s="168"/>
      <c r="D57" s="169" t="str">
        <f t="shared" si="2"/>
        <v/>
      </c>
      <c r="E57" s="126">
        <f t="shared" si="3"/>
        <v>0</v>
      </c>
      <c r="F57" s="303"/>
      <c r="G57" s="6"/>
      <c r="H57" s="6"/>
      <c r="I57" s="6"/>
      <c r="J57" s="6"/>
    </row>
    <row r="58" spans="2:10" ht="20.100000000000001" customHeight="1" x14ac:dyDescent="0.25">
      <c r="B58" s="160"/>
      <c r="C58" s="168"/>
      <c r="D58" s="169" t="str">
        <f t="shared" si="2"/>
        <v/>
      </c>
      <c r="E58" s="126">
        <f t="shared" si="3"/>
        <v>0</v>
      </c>
      <c r="F58" s="303"/>
      <c r="G58" s="6"/>
      <c r="H58" s="6"/>
      <c r="I58" s="6"/>
      <c r="J58" s="6"/>
    </row>
    <row r="59" spans="2:10" ht="20.100000000000001" customHeight="1" x14ac:dyDescent="0.25">
      <c r="B59" s="160"/>
      <c r="C59" s="168"/>
      <c r="D59" s="169" t="str">
        <f t="shared" si="2"/>
        <v/>
      </c>
      <c r="E59" s="126">
        <f t="shared" si="3"/>
        <v>0</v>
      </c>
      <c r="F59" s="303"/>
      <c r="G59" s="6"/>
      <c r="H59" s="6"/>
      <c r="I59" s="6"/>
      <c r="J59" s="6"/>
    </row>
    <row r="60" spans="2:10" ht="20.100000000000001" customHeight="1" x14ac:dyDescent="0.25">
      <c r="B60" s="160"/>
      <c r="C60" s="168"/>
      <c r="D60" s="169" t="str">
        <f t="shared" si="2"/>
        <v/>
      </c>
      <c r="E60" s="126">
        <f t="shared" si="3"/>
        <v>0</v>
      </c>
      <c r="F60" s="303"/>
      <c r="G60" s="6"/>
      <c r="H60" s="6"/>
      <c r="I60" s="6"/>
      <c r="J60" s="6"/>
    </row>
    <row r="61" spans="2:10" ht="20.100000000000001" customHeight="1" x14ac:dyDescent="0.25">
      <c r="B61" s="160"/>
      <c r="C61" s="168"/>
      <c r="D61" s="169" t="str">
        <f t="shared" si="2"/>
        <v/>
      </c>
      <c r="E61" s="126">
        <f t="shared" si="3"/>
        <v>0</v>
      </c>
      <c r="F61" s="303"/>
      <c r="G61" s="6"/>
      <c r="H61" s="6"/>
      <c r="I61" s="6"/>
      <c r="J61" s="6"/>
    </row>
    <row r="62" spans="2:10" ht="20.100000000000001" customHeight="1" x14ac:dyDescent="0.25">
      <c r="B62" s="160"/>
      <c r="C62" s="168"/>
      <c r="D62" s="169" t="str">
        <f t="shared" si="2"/>
        <v/>
      </c>
      <c r="E62" s="126">
        <f t="shared" si="3"/>
        <v>0</v>
      </c>
      <c r="F62" s="303"/>
      <c r="G62" s="6"/>
      <c r="H62" s="6"/>
      <c r="I62" s="6"/>
      <c r="J62" s="6"/>
    </row>
    <row r="63" spans="2:10" ht="20.100000000000001" customHeight="1" x14ac:dyDescent="0.25">
      <c r="B63" s="160"/>
      <c r="C63" s="168"/>
      <c r="D63" s="169" t="str">
        <f t="shared" si="2"/>
        <v/>
      </c>
      <c r="E63" s="126">
        <f t="shared" si="3"/>
        <v>0</v>
      </c>
      <c r="F63" s="303"/>
      <c r="G63" s="6"/>
      <c r="H63" s="6"/>
      <c r="I63" s="6"/>
      <c r="J63" s="6"/>
    </row>
    <row r="64" spans="2:10" ht="20.100000000000001" customHeight="1" x14ac:dyDescent="0.25">
      <c r="B64" s="160"/>
      <c r="C64" s="168"/>
      <c r="D64" s="169" t="str">
        <f t="shared" si="2"/>
        <v/>
      </c>
      <c r="E64" s="126">
        <f t="shared" si="3"/>
        <v>0</v>
      </c>
      <c r="F64" s="303"/>
      <c r="G64" s="6"/>
      <c r="H64" s="6"/>
      <c r="I64" s="6"/>
      <c r="J64" s="6"/>
    </row>
    <row r="65" spans="2:10" ht="20.100000000000001" customHeight="1" x14ac:dyDescent="0.25">
      <c r="B65" s="160"/>
      <c r="C65" s="168"/>
      <c r="D65" s="169" t="str">
        <f t="shared" si="2"/>
        <v/>
      </c>
      <c r="E65" s="126">
        <f t="shared" si="3"/>
        <v>0</v>
      </c>
      <c r="F65" s="303"/>
      <c r="G65" s="6"/>
      <c r="H65" s="6"/>
      <c r="I65" s="6"/>
      <c r="J65" s="6"/>
    </row>
    <row r="66" spans="2:10" ht="20.100000000000001" customHeight="1" x14ac:dyDescent="0.25">
      <c r="B66" s="160"/>
      <c r="C66" s="168"/>
      <c r="D66" s="169" t="str">
        <f t="shared" si="2"/>
        <v/>
      </c>
      <c r="E66" s="126">
        <f t="shared" si="3"/>
        <v>0</v>
      </c>
      <c r="F66" s="303"/>
      <c r="G66" s="6"/>
      <c r="H66" s="6"/>
      <c r="I66" s="6"/>
      <c r="J66" s="6"/>
    </row>
    <row r="67" spans="2:10" ht="20.100000000000001" customHeight="1" x14ac:dyDescent="0.25">
      <c r="B67" s="160"/>
      <c r="C67" s="168"/>
      <c r="D67" s="169" t="str">
        <f t="shared" si="2"/>
        <v/>
      </c>
      <c r="E67" s="126">
        <f t="shared" si="3"/>
        <v>0</v>
      </c>
      <c r="F67" s="303"/>
      <c r="G67" s="6"/>
      <c r="H67" s="6"/>
      <c r="I67" s="6"/>
      <c r="J67" s="6"/>
    </row>
    <row r="68" spans="2:10" ht="20.100000000000001" customHeight="1" x14ac:dyDescent="0.25">
      <c r="B68" s="161" t="s">
        <v>206</v>
      </c>
      <c r="C68" s="162" t="s">
        <v>360</v>
      </c>
      <c r="D68" s="162" t="s">
        <v>207</v>
      </c>
      <c r="E68" s="49"/>
      <c r="F68" s="303"/>
      <c r="G68" s="6"/>
      <c r="H68" s="6"/>
      <c r="I68" s="6"/>
      <c r="J68" s="6"/>
    </row>
    <row r="69" spans="2:10" ht="20.100000000000001" customHeight="1" x14ac:dyDescent="0.25">
      <c r="B69" s="160"/>
      <c r="C69" s="168"/>
      <c r="D69" s="168"/>
      <c r="E69" s="126">
        <f t="shared" ref="E69:E83" si="4">IFERROR(C69*D69,0)</f>
        <v>0</v>
      </c>
      <c r="F69" s="303"/>
      <c r="G69" s="6"/>
      <c r="H69" s="6"/>
      <c r="I69" s="6"/>
      <c r="J69" s="6"/>
    </row>
    <row r="70" spans="2:10" ht="20.100000000000001" customHeight="1" x14ac:dyDescent="0.25">
      <c r="B70" s="160"/>
      <c r="C70" s="168"/>
      <c r="D70" s="168"/>
      <c r="E70" s="126">
        <f t="shared" si="4"/>
        <v>0</v>
      </c>
      <c r="F70" s="303"/>
      <c r="G70" s="6"/>
      <c r="H70" s="6"/>
      <c r="I70" s="6"/>
      <c r="J70" s="6"/>
    </row>
    <row r="71" spans="2:10" ht="20.100000000000001" customHeight="1" x14ac:dyDescent="0.25">
      <c r="B71" s="160"/>
      <c r="C71" s="168"/>
      <c r="D71" s="168"/>
      <c r="E71" s="126">
        <f t="shared" si="4"/>
        <v>0</v>
      </c>
      <c r="F71" s="303"/>
      <c r="G71" s="6"/>
      <c r="H71" s="6"/>
      <c r="I71" s="6"/>
      <c r="J71" s="6"/>
    </row>
    <row r="72" spans="2:10" ht="20.100000000000001" customHeight="1" x14ac:dyDescent="0.25">
      <c r="B72" s="160"/>
      <c r="C72" s="168"/>
      <c r="D72" s="168"/>
      <c r="E72" s="126">
        <f t="shared" si="4"/>
        <v>0</v>
      </c>
      <c r="F72" s="303"/>
      <c r="G72" s="6"/>
      <c r="H72" s="6"/>
      <c r="I72" s="6"/>
      <c r="J72" s="6"/>
    </row>
    <row r="73" spans="2:10" ht="20.100000000000001" customHeight="1" x14ac:dyDescent="0.25">
      <c r="B73" s="160"/>
      <c r="C73" s="168"/>
      <c r="D73" s="168"/>
      <c r="E73" s="126">
        <f t="shared" si="4"/>
        <v>0</v>
      </c>
      <c r="F73" s="303"/>
      <c r="G73" s="6"/>
      <c r="H73" s="6"/>
      <c r="I73" s="6"/>
      <c r="J73" s="6"/>
    </row>
    <row r="74" spans="2:10" ht="20.100000000000001" customHeight="1" x14ac:dyDescent="0.25">
      <c r="B74" s="160"/>
      <c r="C74" s="168"/>
      <c r="D74" s="168"/>
      <c r="E74" s="126">
        <f t="shared" si="4"/>
        <v>0</v>
      </c>
      <c r="F74" s="303"/>
      <c r="G74" s="6"/>
      <c r="H74" s="6"/>
      <c r="I74" s="6"/>
      <c r="J74" s="6"/>
    </row>
    <row r="75" spans="2:10" ht="20.100000000000001" customHeight="1" x14ac:dyDescent="0.25">
      <c r="B75" s="160"/>
      <c r="C75" s="168"/>
      <c r="D75" s="168"/>
      <c r="E75" s="126">
        <f t="shared" si="4"/>
        <v>0</v>
      </c>
      <c r="F75" s="303"/>
      <c r="G75" s="6"/>
      <c r="H75" s="6"/>
      <c r="I75" s="6"/>
      <c r="J75" s="6"/>
    </row>
    <row r="76" spans="2:10" ht="20.100000000000001" customHeight="1" x14ac:dyDescent="0.25">
      <c r="B76" s="160"/>
      <c r="C76" s="168"/>
      <c r="D76" s="168"/>
      <c r="E76" s="126">
        <f t="shared" si="4"/>
        <v>0</v>
      </c>
      <c r="F76" s="303"/>
      <c r="G76" s="6"/>
      <c r="H76" s="6"/>
      <c r="I76" s="6"/>
      <c r="J76" s="6"/>
    </row>
    <row r="77" spans="2:10" ht="20.100000000000001" customHeight="1" x14ac:dyDescent="0.25">
      <c r="B77" s="160"/>
      <c r="C77" s="168"/>
      <c r="D77" s="168"/>
      <c r="E77" s="126">
        <f t="shared" si="4"/>
        <v>0</v>
      </c>
      <c r="F77" s="303"/>
      <c r="G77" s="6"/>
      <c r="H77" s="6"/>
      <c r="I77" s="6"/>
      <c r="J77" s="6"/>
    </row>
    <row r="78" spans="2:10" ht="20.100000000000001" customHeight="1" x14ac:dyDescent="0.25">
      <c r="B78" s="160"/>
      <c r="C78" s="168"/>
      <c r="D78" s="168"/>
      <c r="E78" s="126">
        <f t="shared" si="4"/>
        <v>0</v>
      </c>
      <c r="F78" s="303"/>
      <c r="G78" s="6"/>
      <c r="H78" s="6"/>
      <c r="I78" s="6"/>
      <c r="J78" s="6"/>
    </row>
    <row r="79" spans="2:10" ht="20.100000000000001" customHeight="1" x14ac:dyDescent="0.25">
      <c r="B79" s="160"/>
      <c r="C79" s="168"/>
      <c r="D79" s="168"/>
      <c r="E79" s="126">
        <f t="shared" si="4"/>
        <v>0</v>
      </c>
      <c r="F79" s="303"/>
      <c r="G79" s="6"/>
      <c r="H79" s="6"/>
      <c r="I79" s="6"/>
      <c r="J79" s="6"/>
    </row>
    <row r="80" spans="2:10" ht="20.100000000000001" customHeight="1" x14ac:dyDescent="0.25">
      <c r="B80" s="160"/>
      <c r="C80" s="168"/>
      <c r="D80" s="168"/>
      <c r="E80" s="126">
        <f t="shared" si="4"/>
        <v>0</v>
      </c>
      <c r="F80" s="303"/>
      <c r="G80" s="6"/>
      <c r="H80" s="6"/>
      <c r="I80" s="6"/>
      <c r="J80" s="6"/>
    </row>
    <row r="81" spans="2:10" ht="20.100000000000001" customHeight="1" x14ac:dyDescent="0.25">
      <c r="B81" s="160"/>
      <c r="C81" s="168"/>
      <c r="D81" s="168"/>
      <c r="E81" s="126">
        <f t="shared" si="4"/>
        <v>0</v>
      </c>
      <c r="F81" s="303"/>
      <c r="G81" s="6"/>
      <c r="H81" s="6"/>
      <c r="I81" s="6"/>
      <c r="J81" s="6"/>
    </row>
    <row r="82" spans="2:10" ht="20.100000000000001" customHeight="1" x14ac:dyDescent="0.25">
      <c r="B82" s="160"/>
      <c r="C82" s="168"/>
      <c r="D82" s="168"/>
      <c r="E82" s="126">
        <f t="shared" si="4"/>
        <v>0</v>
      </c>
      <c r="F82" s="303"/>
      <c r="G82" s="6"/>
      <c r="H82" s="6"/>
      <c r="I82" s="6"/>
      <c r="J82" s="6"/>
    </row>
    <row r="83" spans="2:10" ht="20.100000000000001" customHeight="1" x14ac:dyDescent="0.25">
      <c r="B83" s="160"/>
      <c r="C83" s="168"/>
      <c r="D83" s="168"/>
      <c r="E83" s="126">
        <f t="shared" si="4"/>
        <v>0</v>
      </c>
      <c r="F83" s="303"/>
      <c r="G83" s="6"/>
      <c r="H83" s="6"/>
      <c r="I83" s="6"/>
      <c r="J83" s="6"/>
    </row>
    <row r="84" spans="2:10" ht="20.100000000000001" customHeight="1" thickBot="1" x14ac:dyDescent="0.3">
      <c r="B84" s="342"/>
      <c r="C84" s="200">
        <f>SUM(C53:C83)</f>
        <v>0</v>
      </c>
      <c r="D84" s="47">
        <f>SUM(D53:D83)</f>
        <v>0</v>
      </c>
      <c r="E84" s="199">
        <f>SUM(E53:E83)</f>
        <v>0</v>
      </c>
      <c r="F84" s="340"/>
      <c r="G84" s="6"/>
      <c r="H84" s="6"/>
      <c r="I84" s="6"/>
      <c r="J84" s="6"/>
    </row>
    <row r="85" spans="2:10" x14ac:dyDescent="0.25">
      <c r="B85" s="9"/>
      <c r="F85" s="341"/>
    </row>
    <row r="86" spans="2:10" ht="12.75" customHeight="1" x14ac:dyDescent="0.25">
      <c r="B86" s="141" t="s">
        <v>300</v>
      </c>
    </row>
    <row r="90" spans="2:10" x14ac:dyDescent="0.25">
      <c r="C90" s="29"/>
    </row>
    <row r="96" spans="2:10" ht="15.6" x14ac:dyDescent="0.25">
      <c r="B96" s="280"/>
    </row>
    <row r="97" spans="2:2" ht="15.6" x14ac:dyDescent="0.25">
      <c r="B97" s="281"/>
    </row>
  </sheetData>
  <sheetProtection algorithmName="SHA-512" hashValue="A0a2EUExU0Wj3fpoMfiRrgxHK5DTxPlC3EhkUOo2XEMF2yabJLS5WEt8joawNZ7xRH8rjSv2PQOWjgr2J7VsyQ==" saltValue="g5WA3Fck4daUhBJAEO706A==" spinCount="100000" sheet="1" selectLockedCells="1"/>
  <mergeCells count="25">
    <mergeCell ref="C50:C51"/>
    <mergeCell ref="G44:K44"/>
    <mergeCell ref="D19:E19"/>
    <mergeCell ref="C21:E21"/>
    <mergeCell ref="C8:E8"/>
    <mergeCell ref="C9:E9"/>
    <mergeCell ref="D18:E18"/>
    <mergeCell ref="G39:K39"/>
    <mergeCell ref="B29:E29"/>
    <mergeCell ref="B39:E39"/>
    <mergeCell ref="D22:E22"/>
    <mergeCell ref="D24:E24"/>
    <mergeCell ref="D27:E27"/>
    <mergeCell ref="B38:E38"/>
    <mergeCell ref="D23:E23"/>
    <mergeCell ref="B2:E2"/>
    <mergeCell ref="B3:E3"/>
    <mergeCell ref="C4:E4"/>
    <mergeCell ref="B13:E13"/>
    <mergeCell ref="C5:E5"/>
    <mergeCell ref="C6:E6"/>
    <mergeCell ref="C11:E11"/>
    <mergeCell ref="C10:E10"/>
    <mergeCell ref="C7:E7"/>
    <mergeCell ref="B12:E12"/>
  </mergeCells>
  <conditionalFormatting sqref="B53:D67 B69:D84">
    <cfRule type="expression" dxfId="92" priority="29">
      <formula>$C$50="Unknown"</formula>
    </cfRule>
  </conditionalFormatting>
  <conditionalFormatting sqref="C27">
    <cfRule type="expression" dxfId="91" priority="1">
      <formula>$C$26="No"</formula>
    </cfRule>
  </conditionalFormatting>
  <conditionalFormatting sqref="C186">
    <cfRule type="expression" priority="3">
      <formula>$C$15+$C$16=0</formula>
    </cfRule>
  </conditionalFormatting>
  <conditionalFormatting sqref="C31:E31">
    <cfRule type="expression" dxfId="90" priority="17">
      <formula>$C$15=0</formula>
    </cfRule>
  </conditionalFormatting>
  <conditionalFormatting sqref="C32:E32">
    <cfRule type="expression" dxfId="89" priority="15">
      <formula>$C$16=0</formula>
    </cfRule>
  </conditionalFormatting>
  <conditionalFormatting sqref="C33:E33">
    <cfRule type="expression" dxfId="88" priority="14">
      <formula>$C$17=0</formula>
    </cfRule>
  </conditionalFormatting>
  <conditionalFormatting sqref="D40">
    <cfRule type="expression" dxfId="87" priority="13">
      <formula>$C$40="Unknown"</formula>
    </cfRule>
  </conditionalFormatting>
  <conditionalFormatting sqref="D41">
    <cfRule type="expression" dxfId="86" priority="11">
      <formula>OR($C$41="Unknown",$C$41="N/A")</formula>
    </cfRule>
  </conditionalFormatting>
  <conditionalFormatting sqref="D42">
    <cfRule type="expression" dxfId="85" priority="10">
      <formula>$C$42="Unknown"</formula>
    </cfRule>
  </conditionalFormatting>
  <conditionalFormatting sqref="D43">
    <cfRule type="expression" dxfId="84" priority="9">
      <formula>$C$43="Unknown"</formula>
    </cfRule>
  </conditionalFormatting>
  <conditionalFormatting sqref="D44">
    <cfRule type="expression" dxfId="83" priority="8">
      <formula>$C$44="Unknown"</formula>
    </cfRule>
  </conditionalFormatting>
  <conditionalFormatting sqref="D45">
    <cfRule type="expression" dxfId="82" priority="7">
      <formula>$C$45="Unknown"</formula>
    </cfRule>
  </conditionalFormatting>
  <conditionalFormatting sqref="D46">
    <cfRule type="expression" dxfId="81" priority="6">
      <formula>$C$46="Unknown"</formula>
    </cfRule>
  </conditionalFormatting>
  <conditionalFormatting sqref="D47">
    <cfRule type="expression" dxfId="80" priority="5">
      <formula>$C$47="Unknown"</formula>
    </cfRule>
  </conditionalFormatting>
  <conditionalFormatting sqref="D48">
    <cfRule type="expression" dxfId="79" priority="4">
      <formula>$C$48="Unknown"</formula>
    </cfRule>
  </conditionalFormatting>
  <conditionalFormatting sqref="D258">
    <cfRule type="expression" priority="25">
      <formula>$C$15+$C$16=0</formula>
    </cfRule>
  </conditionalFormatting>
  <conditionalFormatting sqref="D31:E31">
    <cfRule type="expression" dxfId="78" priority="28">
      <formula>$C$31=0</formula>
    </cfRule>
  </conditionalFormatting>
  <conditionalFormatting sqref="D32:E32">
    <cfRule type="expression" dxfId="77" priority="27">
      <formula>$C$32=0</formula>
    </cfRule>
  </conditionalFormatting>
  <conditionalFormatting sqref="D33:E33">
    <cfRule type="expression" dxfId="76" priority="26">
      <formula>$C$33=0</formula>
    </cfRule>
  </conditionalFormatting>
  <dataValidations count="11">
    <dataValidation type="list" allowBlank="1" showInputMessage="1" showErrorMessage="1" sqref="C24:C27 C49" xr:uid="{00000000-0002-0000-0100-000000000000}">
      <formula1>"Yes,No"</formula1>
    </dataValidation>
    <dataValidation type="list" allowBlank="1" showInputMessage="1" showErrorMessage="1" sqref="C8" xr:uid="{00000000-0002-0000-0100-000001000000}">
      <formula1>EXTENSION</formula1>
    </dataValidation>
    <dataValidation type="list" allowBlank="1" showInputMessage="1" showErrorMessage="1" sqref="B53:B67" xr:uid="{00000000-0002-0000-0100-000002000000}">
      <formula1>AGROCHEM</formula1>
    </dataValidation>
    <dataValidation type="list" allowBlank="1" showInputMessage="1" showErrorMessage="1" sqref="C50 C40 C42:C48" xr:uid="{00000000-0002-0000-0100-000003000000}">
      <formula1>"Unknown,Known"</formula1>
    </dataValidation>
    <dataValidation type="list" allowBlank="1" showInputMessage="1" showErrorMessage="1" sqref="C9:E9" xr:uid="{00000000-0002-0000-0100-000004000000}">
      <formula1>INDIRECT(SUBSTITUTE($C$8," ","_"))</formula1>
    </dataValidation>
    <dataValidation type="custom" allowBlank="1" showInputMessage="1" showErrorMessage="1" error="Enter numbers only" sqref="D40:D49 C69:C83 C53:C67" xr:uid="{00000000-0002-0000-0100-000005000000}">
      <formula1>ISNUMBER(C40)</formula1>
    </dataValidation>
    <dataValidation type="custom" allowBlank="1" showInputMessage="1" showErrorMessage="1" error="Enter numbers only." sqref="C14:C17 C19:C20 C22:C23 C31:E36" xr:uid="{00000000-0002-0000-0100-000006000000}">
      <formula1>ISNUMBER(C14)</formula1>
    </dataValidation>
    <dataValidation type="custom" allowBlank="1" showInputMessage="1" showErrorMessage="1" error="Enter numbers only" sqref="D78:D83" xr:uid="{00000000-0002-0000-0100-000007000000}">
      <formula1>ISNUMBER(D78:E84)</formula1>
    </dataValidation>
    <dataValidation type="custom" allowBlank="1" showInputMessage="1" showErrorMessage="1" error="Enter numbers only" sqref="D69:D75" xr:uid="{00000000-0002-0000-0100-000008000000}">
      <formula1>ISNUMBER(D69:E83)</formula1>
    </dataValidation>
    <dataValidation type="custom" allowBlank="1" showInputMessage="1" showErrorMessage="1" error="Enter numbers only" sqref="D76:D77" xr:uid="{00000000-0002-0000-0100-000009000000}">
      <formula1>ISNUMBER(D76:E87)</formula1>
    </dataValidation>
    <dataValidation type="list" allowBlank="1" showInputMessage="1" showErrorMessage="1" sqref="C41" xr:uid="{00000000-0002-0000-0100-00000A000000}">
      <formula1>"N/A,Unknown,Known"</formula1>
    </dataValidation>
  </dataValidations>
  <pageMargins left="0.25" right="0.25" top="0.75" bottom="0.75" header="0.3" footer="0.3"/>
  <pageSetup paperSize="9" scale="66" fitToHeight="0" orientation="landscape" r:id="rId1"/>
  <ignoredErrors>
    <ignoredError sqref="C18" formulaRange="1"/>
  </ignoredErrors>
  <drawing r:id="rId2"/>
  <legacyDrawing r:id="rId3"/>
  <controls>
    <mc:AlternateContent xmlns:mc="http://schemas.openxmlformats.org/markup-compatibility/2006">
      <mc:Choice Requires="x14">
        <control shapeId="2054" r:id="rId4" name="Clear_All">
          <controlPr defaultSize="0" autoLine="0" r:id="rId5">
            <anchor moveWithCells="1">
              <from>
                <xdr:col>5</xdr:col>
                <xdr:colOff>883920</xdr:colOff>
                <xdr:row>1</xdr:row>
                <xdr:rowOff>121920</xdr:rowOff>
              </from>
              <to>
                <xdr:col>5</xdr:col>
                <xdr:colOff>3200400</xdr:colOff>
                <xdr:row>1</xdr:row>
                <xdr:rowOff>556260</xdr:rowOff>
              </to>
            </anchor>
          </controlPr>
        </control>
      </mc:Choice>
      <mc:Fallback>
        <control shapeId="2054" r:id="rId4" name="Clear_All"/>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104"/>
  <sheetViews>
    <sheetView showGridLines="0" topLeftCell="B1" zoomScaleNormal="100" workbookViewId="0">
      <selection activeCell="C6" sqref="C6"/>
    </sheetView>
  </sheetViews>
  <sheetFormatPr defaultColWidth="9.109375" defaultRowHeight="13.2" x14ac:dyDescent="0.25"/>
  <cols>
    <col min="1" max="1" width="10.6640625" style="206" hidden="1" customWidth="1"/>
    <col min="2" max="2" width="111.88671875" customWidth="1"/>
    <col min="3" max="3" width="17.33203125" style="179" customWidth="1"/>
    <col min="4" max="4" width="16.6640625" style="179" customWidth="1"/>
    <col min="5" max="5" width="9.6640625" style="10" hidden="1" customWidth="1"/>
    <col min="6" max="6" width="11.88671875" style="237" hidden="1" customWidth="1"/>
    <col min="7" max="7" width="63.5546875" style="3" customWidth="1"/>
    <col min="8" max="8" width="25.6640625" customWidth="1"/>
  </cols>
  <sheetData>
    <row r="1" spans="1:8" ht="30" customHeight="1" thickBot="1" x14ac:dyDescent="0.3">
      <c r="G1"/>
      <c r="H1" s="213"/>
    </row>
    <row r="2" spans="1:8" ht="60" customHeight="1" thickTop="1" thickBot="1" x14ac:dyDescent="0.3">
      <c r="B2" s="430" t="s">
        <v>36</v>
      </c>
      <c r="C2" s="431"/>
      <c r="D2" s="432"/>
      <c r="E2" s="45"/>
      <c r="F2" s="238"/>
      <c r="G2" s="345">
        <f>SUM(C6:C13,D14:D29,D35,D37:D48,D50:D52,D58:D59,D68:D78,C84:C99,G4:G101)</f>
        <v>0</v>
      </c>
    </row>
    <row r="3" spans="1:8" ht="65.099999999999994" customHeight="1" thickTop="1" thickBot="1" x14ac:dyDescent="0.3">
      <c r="B3" s="433" t="s">
        <v>342</v>
      </c>
      <c r="C3" s="434"/>
      <c r="D3" s="435"/>
      <c r="G3" s="343" t="s">
        <v>107</v>
      </c>
    </row>
    <row r="4" spans="1:8" ht="20.100000000000001" customHeight="1" thickTop="1" x14ac:dyDescent="0.25">
      <c r="B4" s="50"/>
      <c r="C4" s="55" t="s">
        <v>0</v>
      </c>
      <c r="D4" s="56" t="s">
        <v>1</v>
      </c>
      <c r="G4" s="164"/>
    </row>
    <row r="5" spans="1:8" ht="33" customHeight="1" x14ac:dyDescent="0.25">
      <c r="B5" s="322" t="s">
        <v>1217</v>
      </c>
      <c r="C5" s="171"/>
      <c r="D5" s="368" t="s">
        <v>340</v>
      </c>
      <c r="G5" s="165"/>
    </row>
    <row r="6" spans="1:8" ht="20.100000000000001" customHeight="1" x14ac:dyDescent="0.25">
      <c r="A6" s="206" t="s">
        <v>419</v>
      </c>
      <c r="B6" s="323" t="s">
        <v>1216</v>
      </c>
      <c r="C6" s="172"/>
      <c r="D6" s="173"/>
      <c r="E6" s="10">
        <f>IF(C6="YES",1,IF(C6="N/A","N/A",0))</f>
        <v>0</v>
      </c>
      <c r="G6" s="165"/>
    </row>
    <row r="7" spans="1:8" ht="20.100000000000001" customHeight="1" x14ac:dyDescent="0.25">
      <c r="A7" s="206" t="s">
        <v>420</v>
      </c>
      <c r="B7" s="323" t="s">
        <v>1224</v>
      </c>
      <c r="C7" s="172"/>
      <c r="D7" s="173"/>
      <c r="E7" s="10">
        <f t="shared" ref="E7:E13" si="0">IF(C7="YES",1,IF(C7="N/A","N/A",0))</f>
        <v>0</v>
      </c>
      <c r="G7" s="165"/>
    </row>
    <row r="8" spans="1:8" ht="20.100000000000001" customHeight="1" x14ac:dyDescent="0.25">
      <c r="A8" s="206" t="s">
        <v>421</v>
      </c>
      <c r="B8" s="323" t="s">
        <v>1218</v>
      </c>
      <c r="C8" s="172"/>
      <c r="D8" s="173"/>
      <c r="E8" s="10">
        <f t="shared" si="0"/>
        <v>0</v>
      </c>
      <c r="G8" s="165"/>
    </row>
    <row r="9" spans="1:8" ht="20.100000000000001" customHeight="1" x14ac:dyDescent="0.25">
      <c r="A9" s="206" t="s">
        <v>422</v>
      </c>
      <c r="B9" s="323" t="s">
        <v>170</v>
      </c>
      <c r="C9" s="172"/>
      <c r="D9" s="173"/>
      <c r="E9" s="10">
        <f t="shared" si="0"/>
        <v>0</v>
      </c>
      <c r="G9" s="165"/>
    </row>
    <row r="10" spans="1:8" ht="20.100000000000001" customHeight="1" x14ac:dyDescent="0.25">
      <c r="A10" s="206" t="s">
        <v>423</v>
      </c>
      <c r="B10" s="323" t="s">
        <v>1219</v>
      </c>
      <c r="C10" s="172"/>
      <c r="D10" s="173"/>
      <c r="E10" s="10">
        <f t="shared" si="0"/>
        <v>0</v>
      </c>
      <c r="F10" s="239"/>
      <c r="G10" s="165"/>
    </row>
    <row r="11" spans="1:8" ht="20.100000000000001" customHeight="1" x14ac:dyDescent="0.25">
      <c r="A11" s="206" t="s">
        <v>424</v>
      </c>
      <c r="B11" s="323" t="s">
        <v>1220</v>
      </c>
      <c r="C11" s="172"/>
      <c r="D11" s="173"/>
      <c r="E11" s="10">
        <f t="shared" si="0"/>
        <v>0</v>
      </c>
      <c r="G11" s="165"/>
    </row>
    <row r="12" spans="1:8" ht="20.100000000000001" customHeight="1" x14ac:dyDescent="0.25">
      <c r="A12" s="206" t="s">
        <v>425</v>
      </c>
      <c r="B12" s="323" t="s">
        <v>1221</v>
      </c>
      <c r="C12" s="172"/>
      <c r="D12" s="173"/>
      <c r="E12" s="10">
        <f t="shared" si="0"/>
        <v>0</v>
      </c>
      <c r="G12" s="165"/>
    </row>
    <row r="13" spans="1:8" ht="20.100000000000001" customHeight="1" x14ac:dyDescent="0.25">
      <c r="A13" s="206" t="s">
        <v>426</v>
      </c>
      <c r="B13" s="323" t="s">
        <v>1222</v>
      </c>
      <c r="C13" s="172"/>
      <c r="D13" s="173"/>
      <c r="E13" s="10">
        <f t="shared" si="0"/>
        <v>0</v>
      </c>
      <c r="F13" s="240"/>
      <c r="G13" s="165"/>
    </row>
    <row r="14" spans="1:8" ht="20.100000000000001" customHeight="1" x14ac:dyDescent="0.25">
      <c r="A14" s="206" t="s">
        <v>427</v>
      </c>
      <c r="B14" s="324" t="s">
        <v>1223</v>
      </c>
      <c r="C14" s="171"/>
      <c r="D14" s="174"/>
      <c r="E14" s="10">
        <f>IF(D14="YES",1,IF(D14="N/A","N/A",0))</f>
        <v>0</v>
      </c>
      <c r="F14" s="240"/>
      <c r="G14" s="165"/>
    </row>
    <row r="15" spans="1:8" ht="20.100000000000001" customHeight="1" x14ac:dyDescent="0.25">
      <c r="A15" s="206" t="s">
        <v>428</v>
      </c>
      <c r="B15" s="51" t="s">
        <v>44</v>
      </c>
      <c r="C15" s="171"/>
      <c r="D15" s="174"/>
      <c r="E15" s="10">
        <f t="shared" ref="E15:E29" si="1">IF(D15="YES",1,IF(D15="N/A","N/A",0))</f>
        <v>0</v>
      </c>
      <c r="G15" s="165"/>
    </row>
    <row r="16" spans="1:8" ht="20.100000000000001" customHeight="1" x14ac:dyDescent="0.25">
      <c r="A16" s="206" t="s">
        <v>429</v>
      </c>
      <c r="B16" s="51" t="s">
        <v>45</v>
      </c>
      <c r="C16" s="171"/>
      <c r="D16" s="174"/>
      <c r="E16" s="10">
        <f t="shared" si="1"/>
        <v>0</v>
      </c>
      <c r="G16" s="165"/>
    </row>
    <row r="17" spans="1:7" ht="20.100000000000001" customHeight="1" x14ac:dyDescent="0.25">
      <c r="A17" s="206" t="s">
        <v>430</v>
      </c>
      <c r="B17" s="51" t="s">
        <v>1351</v>
      </c>
      <c r="C17" s="171"/>
      <c r="D17" s="174"/>
      <c r="E17" s="10">
        <f t="shared" si="1"/>
        <v>0</v>
      </c>
      <c r="F17" s="239"/>
      <c r="G17" s="165"/>
    </row>
    <row r="18" spans="1:7" ht="20.100000000000001" customHeight="1" x14ac:dyDescent="0.25">
      <c r="A18" s="206" t="s">
        <v>431</v>
      </c>
      <c r="B18" s="51" t="s">
        <v>42</v>
      </c>
      <c r="C18" s="171"/>
      <c r="D18" s="174"/>
      <c r="E18" s="10">
        <f t="shared" si="1"/>
        <v>0</v>
      </c>
      <c r="G18" s="165"/>
    </row>
    <row r="19" spans="1:7" ht="20.100000000000001" customHeight="1" x14ac:dyDescent="0.25">
      <c r="A19" s="206" t="s">
        <v>432</v>
      </c>
      <c r="B19" s="51" t="s">
        <v>1352</v>
      </c>
      <c r="C19" s="171"/>
      <c r="D19" s="174"/>
      <c r="E19" s="10">
        <f t="shared" si="1"/>
        <v>0</v>
      </c>
      <c r="G19" s="165"/>
    </row>
    <row r="20" spans="1:7" ht="20.100000000000001" customHeight="1" x14ac:dyDescent="0.25">
      <c r="A20" s="206" t="s">
        <v>433</v>
      </c>
      <c r="B20" s="51" t="s">
        <v>2</v>
      </c>
      <c r="C20" s="171"/>
      <c r="D20" s="174"/>
      <c r="E20" s="10">
        <f t="shared" si="1"/>
        <v>0</v>
      </c>
      <c r="G20" s="165"/>
    </row>
    <row r="21" spans="1:7" ht="20.100000000000001" customHeight="1" x14ac:dyDescent="0.25">
      <c r="A21" s="206" t="s">
        <v>434</v>
      </c>
      <c r="B21" s="52" t="s">
        <v>862</v>
      </c>
      <c r="C21" s="171"/>
      <c r="D21" s="174"/>
      <c r="E21" s="10">
        <f t="shared" si="1"/>
        <v>0</v>
      </c>
      <c r="G21" s="165"/>
    </row>
    <row r="22" spans="1:7" ht="20.100000000000001" customHeight="1" x14ac:dyDescent="0.25">
      <c r="A22" s="206" t="s">
        <v>435</v>
      </c>
      <c r="B22" s="51" t="s">
        <v>309</v>
      </c>
      <c r="C22" s="171"/>
      <c r="D22" s="174"/>
      <c r="E22" s="10">
        <f t="shared" si="1"/>
        <v>0</v>
      </c>
      <c r="G22" s="150"/>
    </row>
    <row r="23" spans="1:7" ht="20.100000000000001" customHeight="1" x14ac:dyDescent="0.25">
      <c r="B23" s="52" t="s">
        <v>46</v>
      </c>
      <c r="C23" s="171"/>
      <c r="D23" s="174"/>
      <c r="E23" s="10">
        <f t="shared" si="1"/>
        <v>0</v>
      </c>
      <c r="G23" s="150"/>
    </row>
    <row r="24" spans="1:7" ht="21" customHeight="1" x14ac:dyDescent="0.25">
      <c r="A24" s="206" t="s">
        <v>436</v>
      </c>
      <c r="B24" s="51" t="s">
        <v>313</v>
      </c>
      <c r="C24" s="171"/>
      <c r="D24" s="174"/>
      <c r="E24" s="10">
        <f t="shared" si="1"/>
        <v>0</v>
      </c>
      <c r="G24" s="211"/>
    </row>
    <row r="25" spans="1:7" ht="20.100000000000001" customHeight="1" x14ac:dyDescent="0.25">
      <c r="A25" s="206" t="s">
        <v>437</v>
      </c>
      <c r="B25" s="51" t="s">
        <v>352</v>
      </c>
      <c r="C25" s="171"/>
      <c r="D25" s="174"/>
      <c r="E25" s="10">
        <f t="shared" si="1"/>
        <v>0</v>
      </c>
      <c r="G25" s="150"/>
    </row>
    <row r="26" spans="1:7" ht="20.100000000000001" customHeight="1" x14ac:dyDescent="0.25">
      <c r="A26" s="206" t="s">
        <v>438</v>
      </c>
      <c r="B26" s="51" t="s">
        <v>353</v>
      </c>
      <c r="C26" s="171"/>
      <c r="D26" s="174"/>
      <c r="E26" s="10">
        <f t="shared" si="1"/>
        <v>0</v>
      </c>
      <c r="G26" s="150"/>
    </row>
    <row r="27" spans="1:7" ht="20.100000000000001" customHeight="1" x14ac:dyDescent="0.25">
      <c r="A27" s="206" t="s">
        <v>439</v>
      </c>
      <c r="B27" s="51" t="s">
        <v>310</v>
      </c>
      <c r="C27" s="171"/>
      <c r="D27" s="174"/>
      <c r="E27" s="10">
        <f t="shared" si="1"/>
        <v>0</v>
      </c>
      <c r="G27" s="165"/>
    </row>
    <row r="28" spans="1:7" ht="35.1" customHeight="1" x14ac:dyDescent="0.25">
      <c r="A28" s="206" t="s">
        <v>440</v>
      </c>
      <c r="B28" s="51" t="s">
        <v>344</v>
      </c>
      <c r="C28" s="171"/>
      <c r="D28" s="174"/>
      <c r="E28" s="10">
        <f t="shared" si="1"/>
        <v>0</v>
      </c>
      <c r="F28" s="239"/>
      <c r="G28" s="211"/>
    </row>
    <row r="29" spans="1:7" ht="20.100000000000001" customHeight="1" x14ac:dyDescent="0.25">
      <c r="A29" s="206" t="s">
        <v>441</v>
      </c>
      <c r="B29" s="51" t="s">
        <v>312</v>
      </c>
      <c r="C29" s="171"/>
      <c r="D29" s="174"/>
      <c r="E29" s="10">
        <f t="shared" si="1"/>
        <v>0</v>
      </c>
      <c r="F29" s="239"/>
      <c r="G29" s="150"/>
    </row>
    <row r="30" spans="1:7" ht="20.100000000000001" customHeight="1" thickBot="1" x14ac:dyDescent="0.3">
      <c r="B30" s="133" t="s">
        <v>90</v>
      </c>
      <c r="C30" s="53">
        <f>AVERAGE(E6:E13)</f>
        <v>0</v>
      </c>
      <c r="D30" s="54">
        <f>AVERAGE(E14:E29)</f>
        <v>0</v>
      </c>
      <c r="E30" s="11"/>
      <c r="F30" s="239"/>
      <c r="G30" s="317"/>
    </row>
    <row r="31" spans="1:7" ht="20.100000000000001" customHeight="1" thickTop="1" thickBot="1" x14ac:dyDescent="0.3">
      <c r="B31" s="2"/>
      <c r="C31" s="180"/>
      <c r="D31" s="181"/>
      <c r="G31" s="165"/>
    </row>
    <row r="32" spans="1:7" ht="49.5" customHeight="1" thickTop="1" thickBot="1" x14ac:dyDescent="0.3">
      <c r="B32" s="427" t="s">
        <v>343</v>
      </c>
      <c r="C32" s="436"/>
      <c r="D32" s="437"/>
      <c r="G32" s="165"/>
    </row>
    <row r="33" spans="1:7" ht="20.100000000000001" customHeight="1" thickTop="1" x14ac:dyDescent="0.25">
      <c r="B33" s="291" t="s">
        <v>88</v>
      </c>
      <c r="C33" s="57" t="s">
        <v>0</v>
      </c>
      <c r="D33" s="58" t="s">
        <v>1</v>
      </c>
      <c r="G33" s="165"/>
    </row>
    <row r="34" spans="1:7" ht="39.9" customHeight="1" x14ac:dyDescent="0.25">
      <c r="B34" s="129" t="s">
        <v>89</v>
      </c>
      <c r="C34" s="176"/>
      <c r="D34" s="368" t="s">
        <v>340</v>
      </c>
      <c r="G34" s="165"/>
    </row>
    <row r="35" spans="1:7" ht="30.6" customHeight="1" x14ac:dyDescent="0.25">
      <c r="A35" s="206" t="s">
        <v>442</v>
      </c>
      <c r="B35" s="59" t="s">
        <v>110</v>
      </c>
      <c r="C35" s="176"/>
      <c r="D35" s="175"/>
      <c r="E35" s="11">
        <f>IF(D35="Yes",0.4,0)</f>
        <v>0</v>
      </c>
      <c r="F35" s="239"/>
      <c r="G35" s="211"/>
    </row>
    <row r="36" spans="1:7" ht="20.100000000000001" customHeight="1" x14ac:dyDescent="0.25">
      <c r="B36" s="59" t="s">
        <v>101</v>
      </c>
      <c r="C36" s="176"/>
      <c r="D36" s="177"/>
      <c r="E36" s="11">
        <f>IF(D35="No",0,AVERAGE(E37:E52)*0.6)</f>
        <v>0</v>
      </c>
      <c r="F36" s="239"/>
      <c r="G36" s="165"/>
    </row>
    <row r="37" spans="1:7" ht="20.100000000000001" customHeight="1" x14ac:dyDescent="0.25">
      <c r="A37" s="206" t="s">
        <v>443</v>
      </c>
      <c r="B37" s="60" t="s">
        <v>173</v>
      </c>
      <c r="C37" s="178"/>
      <c r="D37" s="175"/>
      <c r="E37" s="11">
        <f t="shared" ref="E37:E45" si="2">IF(D37="Yes",1,0)</f>
        <v>0</v>
      </c>
      <c r="F37" s="239"/>
      <c r="G37" s="165"/>
    </row>
    <row r="38" spans="1:7" ht="20.100000000000001" customHeight="1" x14ac:dyDescent="0.25">
      <c r="A38" s="206" t="s">
        <v>444</v>
      </c>
      <c r="B38" s="59" t="s">
        <v>172</v>
      </c>
      <c r="C38" s="176"/>
      <c r="D38" s="175"/>
      <c r="E38" s="11">
        <f t="shared" si="2"/>
        <v>0</v>
      </c>
      <c r="F38" s="239"/>
      <c r="G38" s="165"/>
    </row>
    <row r="39" spans="1:7" ht="20.100000000000001" customHeight="1" x14ac:dyDescent="0.25">
      <c r="A39" s="206" t="s">
        <v>445</v>
      </c>
      <c r="B39" s="59" t="s">
        <v>48</v>
      </c>
      <c r="C39" s="176"/>
      <c r="D39" s="175"/>
      <c r="E39" s="11">
        <f t="shared" si="2"/>
        <v>0</v>
      </c>
      <c r="F39" s="239"/>
      <c r="G39" s="165"/>
    </row>
    <row r="40" spans="1:7" ht="20.100000000000001" customHeight="1" x14ac:dyDescent="0.25">
      <c r="A40" s="206" t="s">
        <v>446</v>
      </c>
      <c r="B40" s="59" t="s">
        <v>171</v>
      </c>
      <c r="C40" s="176"/>
      <c r="D40" s="175"/>
      <c r="E40" s="11">
        <f t="shared" si="2"/>
        <v>0</v>
      </c>
      <c r="F40" s="239"/>
      <c r="G40" s="165"/>
    </row>
    <row r="41" spans="1:7" ht="20.100000000000001" customHeight="1" x14ac:dyDescent="0.25">
      <c r="A41" s="206" t="s">
        <v>447</v>
      </c>
      <c r="B41" s="59" t="s">
        <v>82</v>
      </c>
      <c r="C41" s="176"/>
      <c r="D41" s="175"/>
      <c r="E41" s="11">
        <f t="shared" si="2"/>
        <v>0</v>
      </c>
      <c r="F41" s="239"/>
      <c r="G41" s="165"/>
    </row>
    <row r="42" spans="1:7" ht="20.100000000000001" customHeight="1" x14ac:dyDescent="0.25">
      <c r="A42" s="206" t="s">
        <v>448</v>
      </c>
      <c r="B42" s="122" t="s">
        <v>314</v>
      </c>
      <c r="C42" s="176"/>
      <c r="D42" s="175"/>
      <c r="E42" s="11">
        <f t="shared" si="2"/>
        <v>0</v>
      </c>
      <c r="F42" s="239"/>
      <c r="G42" s="165"/>
    </row>
    <row r="43" spans="1:7" ht="20.100000000000001" customHeight="1" x14ac:dyDescent="0.25">
      <c r="A43" s="206" t="s">
        <v>449</v>
      </c>
      <c r="B43" s="123" t="s">
        <v>315</v>
      </c>
      <c r="C43" s="178"/>
      <c r="D43" s="175"/>
      <c r="E43" s="11">
        <f t="shared" si="2"/>
        <v>0</v>
      </c>
      <c r="F43" s="239"/>
      <c r="G43" s="165"/>
    </row>
    <row r="44" spans="1:7" ht="20.100000000000001" customHeight="1" x14ac:dyDescent="0.25">
      <c r="A44" s="206" t="s">
        <v>450</v>
      </c>
      <c r="B44" s="59" t="s">
        <v>49</v>
      </c>
      <c r="C44" s="176"/>
      <c r="D44" s="175"/>
      <c r="E44" s="26" t="str">
        <f>IF(PROFILE!C15+PROFILE!C16=0,"",IF(D44="Yes",1,IF(D44="No",0,"N/A")))</f>
        <v/>
      </c>
      <c r="F44" s="239"/>
      <c r="G44" s="165"/>
    </row>
    <row r="45" spans="1:7" ht="20.100000000000001" customHeight="1" x14ac:dyDescent="0.25">
      <c r="A45" s="206" t="s">
        <v>451</v>
      </c>
      <c r="B45" s="59" t="s">
        <v>318</v>
      </c>
      <c r="C45" s="176"/>
      <c r="D45" s="175"/>
      <c r="E45" s="11">
        <f t="shared" si="2"/>
        <v>0</v>
      </c>
      <c r="F45" s="239"/>
      <c r="G45" s="150"/>
    </row>
    <row r="46" spans="1:7" ht="20.100000000000001" customHeight="1" x14ac:dyDescent="0.25">
      <c r="A46" s="206" t="s">
        <v>452</v>
      </c>
      <c r="B46" s="59" t="s">
        <v>158</v>
      </c>
      <c r="C46" s="176"/>
      <c r="D46" s="175"/>
      <c r="E46" s="11">
        <f>IF(D46="Yes",1,IF(D46="N/A","N/A",0))</f>
        <v>0</v>
      </c>
      <c r="F46" s="239"/>
      <c r="G46" s="165"/>
    </row>
    <row r="47" spans="1:7" ht="20.100000000000001" customHeight="1" x14ac:dyDescent="0.25">
      <c r="A47" s="206" t="s">
        <v>453</v>
      </c>
      <c r="B47" s="59" t="s">
        <v>316</v>
      </c>
      <c r="C47" s="176"/>
      <c r="D47" s="175"/>
      <c r="E47" s="11">
        <f>IF(D47="Yes",1,IF(D47="N/A","N/A",0))</f>
        <v>0</v>
      </c>
      <c r="F47" s="239"/>
      <c r="G47" s="165"/>
    </row>
    <row r="48" spans="1:7" ht="20.100000000000001" customHeight="1" x14ac:dyDescent="0.25">
      <c r="A48" s="206" t="s">
        <v>454</v>
      </c>
      <c r="B48" s="59" t="s">
        <v>317</v>
      </c>
      <c r="C48" s="176"/>
      <c r="D48" s="175"/>
      <c r="E48" s="11">
        <f>IF(D48="Yes",1,IF(D48="N/A","N/A",0))</f>
        <v>0</v>
      </c>
      <c r="F48" s="239"/>
      <c r="G48" s="165"/>
    </row>
    <row r="49" spans="1:7" ht="20.100000000000001" customHeight="1" x14ac:dyDescent="0.25">
      <c r="B49" s="59" t="s">
        <v>338</v>
      </c>
      <c r="C49" s="176"/>
      <c r="D49" s="177"/>
      <c r="E49" s="11"/>
      <c r="F49" s="239"/>
      <c r="G49" s="165"/>
    </row>
    <row r="50" spans="1:7" ht="20.100000000000001" customHeight="1" x14ac:dyDescent="0.25">
      <c r="A50" s="206" t="s">
        <v>455</v>
      </c>
      <c r="B50" s="59" t="s">
        <v>306</v>
      </c>
      <c r="C50" s="176"/>
      <c r="D50" s="175"/>
      <c r="E50" s="11">
        <f>IF(D50="Yes",1,0)</f>
        <v>0</v>
      </c>
      <c r="F50" s="239"/>
      <c r="G50" s="165"/>
    </row>
    <row r="51" spans="1:7" ht="20.100000000000001" customHeight="1" x14ac:dyDescent="0.25">
      <c r="A51" s="206" t="s">
        <v>456</v>
      </c>
      <c r="B51" s="59" t="s">
        <v>307</v>
      </c>
      <c r="C51" s="176"/>
      <c r="D51" s="175"/>
      <c r="E51" s="11">
        <f>IF(D51="Yes",1,0)</f>
        <v>0</v>
      </c>
      <c r="F51" s="239"/>
      <c r="G51" s="150"/>
    </row>
    <row r="52" spans="1:7" ht="20.100000000000001" customHeight="1" x14ac:dyDescent="0.25">
      <c r="A52" s="206" t="s">
        <v>457</v>
      </c>
      <c r="B52" s="59" t="s">
        <v>308</v>
      </c>
      <c r="C52" s="176"/>
      <c r="D52" s="175"/>
      <c r="E52" s="26">
        <f>IF(D52="Yes",1,IF(D52="N/A","N/A",0))</f>
        <v>0</v>
      </c>
      <c r="F52" s="239"/>
      <c r="G52" s="150"/>
    </row>
    <row r="53" spans="1:7" ht="20.100000000000001" customHeight="1" x14ac:dyDescent="0.25">
      <c r="B53" s="266"/>
      <c r="C53" s="267"/>
      <c r="D53" s="177"/>
      <c r="E53" s="26"/>
      <c r="F53" s="239"/>
      <c r="G53" s="150"/>
    </row>
    <row r="54" spans="1:7" ht="20.100000000000001" customHeight="1" x14ac:dyDescent="0.25">
      <c r="B54" s="257" t="s">
        <v>83</v>
      </c>
      <c r="C54" s="259"/>
      <c r="D54" s="260"/>
      <c r="G54" s="165"/>
    </row>
    <row r="55" spans="1:7" ht="39.9" customHeight="1" x14ac:dyDescent="0.25">
      <c r="B55" s="130" t="s">
        <v>199</v>
      </c>
      <c r="C55" s="258"/>
      <c r="D55" s="368" t="s">
        <v>340</v>
      </c>
      <c r="G55" s="165"/>
    </row>
    <row r="56" spans="1:7" ht="39.9" customHeight="1" x14ac:dyDescent="0.25">
      <c r="A56" s="206" t="s">
        <v>458</v>
      </c>
      <c r="B56" s="60" t="s">
        <v>886</v>
      </c>
      <c r="C56" s="171"/>
      <c r="D56" s="271">
        <f>IF(PROFILE!C19&lt;=10,PROFILE!C19*10,100)/100</f>
        <v>0</v>
      </c>
      <c r="E56" s="11">
        <f>D56</f>
        <v>0</v>
      </c>
      <c r="F56" s="254"/>
      <c r="G56" s="165"/>
    </row>
    <row r="57" spans="1:7" s="6" customFormat="1" ht="39.9" customHeight="1" x14ac:dyDescent="0.25">
      <c r="A57" s="206" t="s">
        <v>462</v>
      </c>
      <c r="B57" s="60" t="s">
        <v>885</v>
      </c>
      <c r="C57" s="171"/>
      <c r="D57" s="272" t="e">
        <f>CALCULATORS!B79</f>
        <v>#DIV/0!</v>
      </c>
      <c r="E57" s="265" t="e">
        <f>D57</f>
        <v>#DIV/0!</v>
      </c>
      <c r="F57" s="262"/>
      <c r="G57" s="263"/>
    </row>
    <row r="58" spans="1:7" s="6" customFormat="1" ht="39.9" customHeight="1" x14ac:dyDescent="0.25">
      <c r="A58" s="206"/>
      <c r="B58" s="60" t="s">
        <v>882</v>
      </c>
      <c r="C58" s="171"/>
      <c r="D58" s="175"/>
      <c r="E58" s="11">
        <f>IF(D58="Yes",1,IF(D59="Yes",0.5,0))</f>
        <v>0</v>
      </c>
      <c r="F58" s="262"/>
      <c r="G58" s="263"/>
    </row>
    <row r="59" spans="1:7" ht="39.9" customHeight="1" x14ac:dyDescent="0.25">
      <c r="A59" s="206" t="s">
        <v>459</v>
      </c>
      <c r="B59" s="60" t="s">
        <v>880</v>
      </c>
      <c r="C59" s="171"/>
      <c r="D59" s="175"/>
      <c r="E59" s="26"/>
      <c r="G59" s="263"/>
    </row>
    <row r="60" spans="1:7" ht="39.9" customHeight="1" x14ac:dyDescent="0.25">
      <c r="A60" s="206" t="s">
        <v>460</v>
      </c>
      <c r="B60" s="60" t="s">
        <v>1190</v>
      </c>
      <c r="C60" s="171"/>
      <c r="D60" s="264">
        <f>CALCULATORS!B65</f>
        <v>0</v>
      </c>
      <c r="E60" s="11"/>
      <c r="G60" s="165"/>
    </row>
    <row r="61" spans="1:7" ht="39.9" customHeight="1" x14ac:dyDescent="0.25">
      <c r="A61" s="206" t="s">
        <v>461</v>
      </c>
      <c r="B61" s="60" t="s">
        <v>1191</v>
      </c>
      <c r="C61" s="171"/>
      <c r="D61" s="255">
        <f>CALCULATORS!B73</f>
        <v>0</v>
      </c>
      <c r="E61" s="11"/>
      <c r="G61" s="165"/>
    </row>
    <row r="62" spans="1:7" ht="17.25" customHeight="1" x14ac:dyDescent="0.25">
      <c r="B62" s="307" t="s">
        <v>881</v>
      </c>
      <c r="C62" s="325"/>
      <c r="D62" s="326"/>
      <c r="G62" s="282"/>
    </row>
    <row r="63" spans="1:7" ht="41.25" customHeight="1" thickBot="1" x14ac:dyDescent="0.3">
      <c r="B63" s="275"/>
      <c r="C63" s="61" t="s">
        <v>47</v>
      </c>
      <c r="D63" s="62" t="e">
        <f>(AVERAGE(SUM(E35,E36),E56:E58))</f>
        <v>#DIV/0!</v>
      </c>
      <c r="E63" s="4"/>
      <c r="F63" s="241"/>
      <c r="G63" s="318"/>
    </row>
    <row r="64" spans="1:7" ht="20.100000000000001" customHeight="1" x14ac:dyDescent="0.25">
      <c r="B64" s="63"/>
      <c r="E64" s="4"/>
      <c r="F64" s="241"/>
      <c r="G64" s="165"/>
    </row>
    <row r="65" spans="1:29" ht="20.100000000000001" customHeight="1" thickBot="1" x14ac:dyDescent="0.3">
      <c r="B65" s="3"/>
      <c r="C65" s="182"/>
      <c r="D65" s="182"/>
      <c r="G65" s="253"/>
    </row>
    <row r="66" spans="1:29" ht="50.1" customHeight="1" thickTop="1" thickBot="1" x14ac:dyDescent="0.3">
      <c r="B66" s="427" t="s">
        <v>341</v>
      </c>
      <c r="C66" s="428" t="s">
        <v>0</v>
      </c>
      <c r="D66" s="429" t="s">
        <v>1</v>
      </c>
      <c r="G66" s="165"/>
    </row>
    <row r="67" spans="1:29" ht="20.100000000000001" customHeight="1" thickTop="1" x14ac:dyDescent="0.25">
      <c r="B67" s="127"/>
      <c r="C67" s="57" t="s">
        <v>0</v>
      </c>
      <c r="D67" s="58" t="s">
        <v>1</v>
      </c>
      <c r="G67" s="150"/>
    </row>
    <row r="68" spans="1:29" ht="35.1" customHeight="1" x14ac:dyDescent="0.25">
      <c r="A68" s="206" t="s">
        <v>463</v>
      </c>
      <c r="B68" s="59" t="s">
        <v>111</v>
      </c>
      <c r="C68" s="368" t="s">
        <v>340</v>
      </c>
      <c r="D68" s="175"/>
      <c r="E68" s="10">
        <f>COUNTIF(D68:D74,"Yes") +COUNTIF(D76:D78,"Yes")</f>
        <v>0</v>
      </c>
      <c r="G68" s="212"/>
    </row>
    <row r="69" spans="1:29" ht="20.100000000000001" customHeight="1" x14ac:dyDescent="0.25">
      <c r="A69" s="206" t="s">
        <v>464</v>
      </c>
      <c r="B69" s="59" t="s">
        <v>50</v>
      </c>
      <c r="C69" s="171"/>
      <c r="D69" s="175"/>
      <c r="E69" s="10">
        <v>10</v>
      </c>
      <c r="G69" s="212"/>
    </row>
    <row r="70" spans="1:29" ht="20.100000000000001" customHeight="1" x14ac:dyDescent="0.25">
      <c r="A70" s="206" t="s">
        <v>465</v>
      </c>
      <c r="B70" s="59" t="s">
        <v>51</v>
      </c>
      <c r="C70" s="171"/>
      <c r="D70" s="175"/>
      <c r="E70" s="10">
        <f>COUNTIF(D68:D74,"Yes") +COUNTIF(D78,"Yes")</f>
        <v>0</v>
      </c>
      <c r="G70" s="165"/>
    </row>
    <row r="71" spans="1:29" x14ac:dyDescent="0.25">
      <c r="A71" s="206" t="s">
        <v>466</v>
      </c>
      <c r="B71" s="59" t="s">
        <v>52</v>
      </c>
      <c r="C71" s="171"/>
      <c r="D71" s="175"/>
      <c r="E71" s="10">
        <v>8</v>
      </c>
      <c r="G71" s="165"/>
    </row>
    <row r="72" spans="1:29" ht="20.100000000000001" customHeight="1" x14ac:dyDescent="0.25">
      <c r="A72" s="206" t="s">
        <v>467</v>
      </c>
      <c r="B72" s="59" t="s">
        <v>319</v>
      </c>
      <c r="C72" s="171"/>
      <c r="D72" s="175"/>
      <c r="G72" s="165"/>
    </row>
    <row r="73" spans="1:29" ht="20.100000000000001" customHeight="1" x14ac:dyDescent="0.25">
      <c r="A73" s="206" t="s">
        <v>468</v>
      </c>
      <c r="B73" s="59" t="s">
        <v>84</v>
      </c>
      <c r="C73" s="171"/>
      <c r="D73" s="175"/>
      <c r="G73" s="165"/>
    </row>
    <row r="74" spans="1:29" ht="20.100000000000001" customHeight="1" x14ac:dyDescent="0.25">
      <c r="A74" s="206" t="s">
        <v>469</v>
      </c>
      <c r="B74" s="59" t="s">
        <v>53</v>
      </c>
      <c r="C74" s="171"/>
      <c r="D74" s="175"/>
      <c r="G74" s="165"/>
    </row>
    <row r="75" spans="1:29" s="293" customFormat="1" ht="20.100000000000001" customHeight="1" x14ac:dyDescent="0.25">
      <c r="A75" s="233"/>
      <c r="B75" s="59" t="s">
        <v>833</v>
      </c>
      <c r="C75" s="171"/>
      <c r="D75" s="175"/>
      <c r="E75" s="292"/>
      <c r="F75" s="262"/>
      <c r="G75" s="263"/>
      <c r="H75" s="6"/>
      <c r="I75" s="6"/>
      <c r="J75" s="6"/>
      <c r="K75" s="6"/>
      <c r="L75" s="6"/>
      <c r="M75" s="6"/>
      <c r="N75" s="6"/>
      <c r="O75" s="6"/>
      <c r="P75" s="6"/>
      <c r="Q75" s="6"/>
      <c r="R75" s="6"/>
      <c r="S75" s="6"/>
      <c r="T75" s="6"/>
      <c r="U75" s="6"/>
      <c r="V75" s="6"/>
      <c r="W75" s="6"/>
      <c r="X75" s="6"/>
      <c r="Y75" s="6"/>
      <c r="Z75" s="6"/>
      <c r="AA75" s="6"/>
      <c r="AB75" s="6"/>
      <c r="AC75" s="6"/>
    </row>
    <row r="76" spans="1:29" s="234" customFormat="1" ht="20.100000000000001" customHeight="1" x14ac:dyDescent="0.25">
      <c r="A76" s="233"/>
      <c r="B76" s="59" t="s">
        <v>834</v>
      </c>
      <c r="C76" s="171"/>
      <c r="D76" s="175"/>
      <c r="E76" s="10"/>
      <c r="F76" s="237"/>
      <c r="G76" s="165"/>
      <c r="H76"/>
      <c r="I76"/>
      <c r="J76"/>
      <c r="K76"/>
      <c r="L76"/>
      <c r="M76"/>
      <c r="N76"/>
      <c r="O76"/>
      <c r="P76"/>
      <c r="Q76"/>
      <c r="R76"/>
      <c r="S76"/>
      <c r="T76"/>
      <c r="U76"/>
      <c r="V76"/>
      <c r="W76"/>
      <c r="X76"/>
      <c r="Y76"/>
      <c r="Z76"/>
      <c r="AA76"/>
      <c r="AB76"/>
      <c r="AC76"/>
    </row>
    <row r="77" spans="1:29" s="234" customFormat="1" ht="20.100000000000001" customHeight="1" x14ac:dyDescent="0.25">
      <c r="A77" s="233"/>
      <c r="B77" s="59" t="s">
        <v>835</v>
      </c>
      <c r="C77" s="171"/>
      <c r="D77" s="175"/>
      <c r="E77" s="10"/>
      <c r="F77" s="237"/>
      <c r="G77" s="165"/>
      <c r="H77"/>
      <c r="I77"/>
      <c r="J77"/>
      <c r="K77"/>
      <c r="L77"/>
      <c r="M77"/>
      <c r="N77"/>
      <c r="O77"/>
      <c r="P77"/>
      <c r="Q77"/>
      <c r="R77"/>
      <c r="S77"/>
      <c r="T77"/>
      <c r="U77"/>
      <c r="V77"/>
      <c r="W77"/>
      <c r="X77"/>
      <c r="Y77"/>
      <c r="Z77"/>
      <c r="AA77"/>
      <c r="AB77"/>
      <c r="AC77"/>
    </row>
    <row r="78" spans="1:29" s="234" customFormat="1" ht="20.100000000000001" customHeight="1" x14ac:dyDescent="0.25">
      <c r="A78" s="233"/>
      <c r="B78" s="59" t="s">
        <v>836</v>
      </c>
      <c r="C78" s="171"/>
      <c r="D78" s="175"/>
      <c r="E78" s="10"/>
      <c r="F78" s="237"/>
      <c r="G78" s="165"/>
      <c r="H78"/>
      <c r="I78"/>
      <c r="J78"/>
      <c r="K78"/>
      <c r="L78"/>
      <c r="M78"/>
      <c r="N78"/>
      <c r="O78"/>
      <c r="P78"/>
      <c r="Q78"/>
      <c r="R78"/>
      <c r="S78"/>
      <c r="T78"/>
      <c r="U78"/>
      <c r="V78"/>
      <c r="W78"/>
      <c r="X78"/>
      <c r="Y78"/>
      <c r="Z78"/>
      <c r="AA78"/>
      <c r="AB78"/>
      <c r="AC78"/>
    </row>
    <row r="79" spans="1:29" ht="20.100000000000001" customHeight="1" thickBot="1" x14ac:dyDescent="0.3">
      <c r="B79" s="134" t="s">
        <v>92</v>
      </c>
      <c r="C79" s="183" t="s">
        <v>47</v>
      </c>
      <c r="D79" s="184">
        <f>IFERROR(IF(D75="Yes",E68/E69,E70/E71),"")</f>
        <v>0</v>
      </c>
      <c r="G79" s="165"/>
    </row>
    <row r="80" spans="1:29" ht="20.100000000000001" customHeight="1" thickBot="1" x14ac:dyDescent="0.3">
      <c r="G80" s="165"/>
    </row>
    <row r="81" spans="1:7" ht="50.1" customHeight="1" thickTop="1" thickBot="1" x14ac:dyDescent="0.3">
      <c r="B81" s="427" t="s">
        <v>1353</v>
      </c>
      <c r="C81" s="428"/>
      <c r="D81" s="429"/>
      <c r="G81" s="283"/>
    </row>
    <row r="82" spans="1:7" ht="20.100000000000001" customHeight="1" thickTop="1" x14ac:dyDescent="0.25">
      <c r="B82" s="128"/>
      <c r="C82" s="57" t="s">
        <v>0</v>
      </c>
      <c r="D82" s="58" t="s">
        <v>1</v>
      </c>
      <c r="G82" s="150"/>
    </row>
    <row r="83" spans="1:7" ht="20.100000000000001" customHeight="1" x14ac:dyDescent="0.25">
      <c r="B83" s="243"/>
      <c r="C83" s="185"/>
      <c r="D83" s="368" t="s">
        <v>340</v>
      </c>
      <c r="E83" s="11"/>
      <c r="F83" s="239"/>
      <c r="G83" s="212"/>
    </row>
    <row r="84" spans="1:7" ht="20.100000000000001" customHeight="1" x14ac:dyDescent="0.25">
      <c r="A84" s="206" t="s">
        <v>470</v>
      </c>
      <c r="B84" s="294" t="s">
        <v>837</v>
      </c>
      <c r="C84" s="170"/>
      <c r="D84" s="235"/>
      <c r="E84" s="24">
        <f>IF(C84="Yes",1,(IF(C84="No - not required","N/A",0)))</f>
        <v>0</v>
      </c>
      <c r="G84" s="165"/>
    </row>
    <row r="85" spans="1:7" ht="20.100000000000001" customHeight="1" x14ac:dyDescent="0.25">
      <c r="B85" s="294" t="s">
        <v>838</v>
      </c>
      <c r="C85" s="170"/>
      <c r="D85" s="235"/>
      <c r="E85" s="24" t="str">
        <f>IF(C84="Yes",IF(C85="Yes",1,0),"N/A")</f>
        <v>N/A</v>
      </c>
      <c r="G85" s="165"/>
    </row>
    <row r="86" spans="1:7" ht="20.100000000000001" customHeight="1" x14ac:dyDescent="0.25">
      <c r="B86" s="294" t="s">
        <v>839</v>
      </c>
      <c r="C86" s="170"/>
      <c r="D86" s="235"/>
      <c r="E86" s="24" t="str">
        <f>IF(C84="Yes",IF(C86="Yes",1,0),"N/A")</f>
        <v>N/A</v>
      </c>
      <c r="G86" s="165"/>
    </row>
    <row r="87" spans="1:7" ht="20.100000000000001" customHeight="1" x14ac:dyDescent="0.25">
      <c r="B87" s="294" t="s">
        <v>840</v>
      </c>
      <c r="C87" s="170"/>
      <c r="D87" s="235"/>
      <c r="E87" s="24" t="str">
        <f>IF(C84="Yes",IF(C87="Yes",1,0),"N/A")</f>
        <v>N/A</v>
      </c>
      <c r="G87" s="165"/>
    </row>
    <row r="88" spans="1:7" ht="20.100000000000001" customHeight="1" x14ac:dyDescent="0.25">
      <c r="B88" s="294" t="s">
        <v>841</v>
      </c>
      <c r="C88" s="170"/>
      <c r="D88" s="235"/>
      <c r="E88" s="24">
        <f>IF(C88="Yes",1,(IF(C88="No - not required","N/A",0)))</f>
        <v>0</v>
      </c>
      <c r="G88" s="165"/>
    </row>
    <row r="89" spans="1:7" ht="20.100000000000001" customHeight="1" x14ac:dyDescent="0.25">
      <c r="B89" s="294" t="s">
        <v>842</v>
      </c>
      <c r="C89" s="170"/>
      <c r="D89" s="235"/>
      <c r="E89" s="24" t="str">
        <f>IF(C88="Yes",IF(C89="Yes",1,0),"N/A")</f>
        <v>N/A</v>
      </c>
      <c r="G89" s="165"/>
    </row>
    <row r="90" spans="1:7" ht="20.100000000000001" customHeight="1" x14ac:dyDescent="0.25">
      <c r="A90" s="206" t="s">
        <v>512</v>
      </c>
      <c r="B90" s="294" t="s">
        <v>843</v>
      </c>
      <c r="C90" s="170"/>
      <c r="D90" s="235"/>
      <c r="E90" s="24">
        <f>IF(C90="Yes",1,(IF(C90="No - not required","N/A",0)))</f>
        <v>0</v>
      </c>
      <c r="F90" s="242"/>
      <c r="G90" s="165"/>
    </row>
    <row r="91" spans="1:7" ht="20.100000000000001" customHeight="1" x14ac:dyDescent="0.25">
      <c r="A91" s="206" t="s">
        <v>513</v>
      </c>
      <c r="B91" s="294" t="s">
        <v>844</v>
      </c>
      <c r="C91" s="170"/>
      <c r="D91" s="235"/>
      <c r="E91" s="24" t="str">
        <f>IF(C90="Yes",IF(C91="Yes",1,0),"N/A")</f>
        <v>N/A</v>
      </c>
      <c r="F91" s="242"/>
      <c r="G91" s="165"/>
    </row>
    <row r="92" spans="1:7" ht="20.100000000000001" customHeight="1" x14ac:dyDescent="0.25">
      <c r="B92" s="294" t="s">
        <v>845</v>
      </c>
      <c r="C92" s="170"/>
      <c r="D92" s="235"/>
      <c r="G92" s="165"/>
    </row>
    <row r="93" spans="1:7" ht="20.100000000000001" customHeight="1" x14ac:dyDescent="0.25">
      <c r="B93" s="294" t="s">
        <v>846</v>
      </c>
      <c r="C93" s="170"/>
      <c r="D93" s="235"/>
      <c r="E93" s="24" t="str">
        <f>IF(C92="Yes",IF(C93="Yes",1,0),"N/A")</f>
        <v>N/A</v>
      </c>
      <c r="G93" s="165"/>
    </row>
    <row r="94" spans="1:7" ht="20.100000000000001" customHeight="1" x14ac:dyDescent="0.25">
      <c r="B94" s="294" t="s">
        <v>847</v>
      </c>
      <c r="C94" s="170"/>
      <c r="D94" s="235"/>
      <c r="G94" s="165"/>
    </row>
    <row r="95" spans="1:7" ht="20.100000000000001" customHeight="1" x14ac:dyDescent="0.25">
      <c r="B95" s="294" t="s">
        <v>848</v>
      </c>
      <c r="C95" s="170"/>
      <c r="D95" s="235"/>
      <c r="E95" s="24" t="str">
        <f>IF(C94="Yes",IF(C95="Yes",1,0),"N/A")</f>
        <v>N/A</v>
      </c>
      <c r="G95" s="165"/>
    </row>
    <row r="96" spans="1:7" ht="20.100000000000001" customHeight="1" x14ac:dyDescent="0.25">
      <c r="B96" s="294" t="s">
        <v>849</v>
      </c>
      <c r="C96" s="170"/>
      <c r="D96" s="235"/>
      <c r="G96" s="165"/>
    </row>
    <row r="97" spans="1:7" ht="20.100000000000001" customHeight="1" x14ac:dyDescent="0.25">
      <c r="B97" s="294" t="s">
        <v>850</v>
      </c>
      <c r="C97" s="170"/>
      <c r="D97" s="235"/>
      <c r="E97" s="24" t="str">
        <f>IF(C96="Yes",IF(C97="Yes",1,0),"N/A")</f>
        <v>N/A</v>
      </c>
      <c r="G97" s="165"/>
    </row>
    <row r="98" spans="1:7" ht="20.100000000000001" customHeight="1" x14ac:dyDescent="0.25">
      <c r="B98" s="294" t="s">
        <v>887</v>
      </c>
      <c r="C98" s="170"/>
      <c r="D98" s="235"/>
      <c r="E98" s="24" t="str">
        <f>IF(C96="Yes",IF(C98="Yes",1,0),"N/A")</f>
        <v>N/A</v>
      </c>
      <c r="G98" s="165"/>
    </row>
    <row r="99" spans="1:7" ht="20.100000000000001" customHeight="1" x14ac:dyDescent="0.25">
      <c r="A99" s="206" t="s">
        <v>471</v>
      </c>
      <c r="B99" s="294" t="s">
        <v>1210</v>
      </c>
      <c r="C99" s="170"/>
      <c r="D99" s="235"/>
      <c r="E99" s="24">
        <f>IF(C99="Yes",1,(IF(C99="Not required","N/A",0)))</f>
        <v>0</v>
      </c>
      <c r="G99" s="165"/>
    </row>
    <row r="100" spans="1:7" ht="20.100000000000001" customHeight="1" thickBot="1" x14ac:dyDescent="0.3">
      <c r="B100" s="134" t="s">
        <v>91</v>
      </c>
      <c r="C100" s="61">
        <f>IFERROR(AVERAGE(E84:E99),"")</f>
        <v>0</v>
      </c>
      <c r="D100" s="62" t="s">
        <v>47</v>
      </c>
      <c r="G100" s="165"/>
    </row>
    <row r="101" spans="1:7" ht="20.100000000000001" customHeight="1" thickBot="1" x14ac:dyDescent="0.3">
      <c r="B101" s="23"/>
      <c r="G101" s="166"/>
    </row>
    <row r="102" spans="1:7" ht="22.5" customHeight="1" thickTop="1" thickBot="1" x14ac:dyDescent="0.3">
      <c r="B102" s="131" t="s">
        <v>36</v>
      </c>
      <c r="C102" s="64">
        <f>AVERAGE(C30, C100)</f>
        <v>0</v>
      </c>
      <c r="D102" s="64" t="e">
        <f>AVERAGE(D30,D63,D79,D100)</f>
        <v>#DIV/0!</v>
      </c>
      <c r="G102" s="344"/>
    </row>
    <row r="104" spans="1:7" x14ac:dyDescent="0.25">
      <c r="B104" s="9"/>
    </row>
  </sheetData>
  <sheetProtection algorithmName="SHA-512" hashValue="S1i7FLuAqnkbifzDwyPxK0nH6b0vXMKceL9rf5c5bd9ADWKSCgr3B5FzfOib5kzOMJrudbOS0rmLWSfYc9+3/w==" saltValue="Yw4nuIEPC0n1b0dkzkWQmA==" spinCount="100000" sheet="1" objects="1" scenarios="1" selectLockedCells="1"/>
  <mergeCells count="5">
    <mergeCell ref="B66:D66"/>
    <mergeCell ref="B81:D81"/>
    <mergeCell ref="B2:D2"/>
    <mergeCell ref="B3:D3"/>
    <mergeCell ref="B32:D32"/>
  </mergeCells>
  <conditionalFormatting sqref="C85:C87">
    <cfRule type="expression" dxfId="75" priority="14">
      <formula>$C$84&lt;&gt;"Yes"</formula>
    </cfRule>
  </conditionalFormatting>
  <conditionalFormatting sqref="C89">
    <cfRule type="expression" dxfId="74" priority="13">
      <formula>$C$88&lt;&gt;"Yes"</formula>
    </cfRule>
  </conditionalFormatting>
  <conditionalFormatting sqref="C91">
    <cfRule type="expression" dxfId="73" priority="12">
      <formula>$C$90&lt;&gt;"Yes"</formula>
    </cfRule>
  </conditionalFormatting>
  <conditionalFormatting sqref="C93">
    <cfRule type="expression" dxfId="72" priority="11">
      <formula>$C$92="No"</formula>
    </cfRule>
  </conditionalFormatting>
  <conditionalFormatting sqref="C95">
    <cfRule type="expression" dxfId="71" priority="10">
      <formula>$C$94="No"</formula>
    </cfRule>
  </conditionalFormatting>
  <conditionalFormatting sqref="C97:C98">
    <cfRule type="expression" dxfId="70" priority="8">
      <formula>$C$96="No"</formula>
    </cfRule>
  </conditionalFormatting>
  <conditionalFormatting sqref="D37:D48 D50:D52">
    <cfRule type="expression" dxfId="67" priority="21">
      <formula>$D$35="No"</formula>
    </cfRule>
  </conditionalFormatting>
  <conditionalFormatting sqref="D59">
    <cfRule type="expression" dxfId="65" priority="4">
      <formula>$D$58="Yes"</formula>
    </cfRule>
  </conditionalFormatting>
  <conditionalFormatting sqref="D76:D77">
    <cfRule type="expression" dxfId="64" priority="15">
      <formula>$D$75="No"</formula>
    </cfRule>
  </conditionalFormatting>
  <dataValidations count="4">
    <dataValidation type="list" allowBlank="1" showInputMessage="1" showErrorMessage="1" sqref="D35 D50:D51 C85:C87 D68:D78 C89 C91:C98 D15:D16 D19 C8 D58:D59 D37:D46" xr:uid="{00000000-0002-0000-0200-000000000000}">
      <formula1>"Yes,No"</formula1>
    </dataValidation>
    <dataValidation type="list" allowBlank="1" showInputMessage="1" showErrorMessage="1" sqref="D47:D48 C9:C13 D20:D29 D14 D17:D18 C6:C7 D52" xr:uid="{00000000-0002-0000-0200-000001000000}">
      <formula1>"N/A,Yes,No"</formula1>
    </dataValidation>
    <dataValidation type="list" allowBlank="1" showInputMessage="1" showErrorMessage="1" sqref="C84 C88 C90" xr:uid="{00000000-0002-0000-0200-000002000000}">
      <formula1>"Yes, No - not yet registered,No - not required"</formula1>
    </dataValidation>
    <dataValidation type="list" allowBlank="1" showInputMessage="1" showErrorMessage="1" sqref="C99" xr:uid="{00000000-0002-0000-0200-000003000000}">
      <formula1>"Yes,No,Not required"</formula1>
    </dataValidation>
  </dataValidations>
  <hyperlinks>
    <hyperlink ref="D34" r:id="rId1" xr:uid="{00000000-0004-0000-0200-000000000000}"/>
    <hyperlink ref="C68" r:id="rId2" xr:uid="{00000000-0004-0000-0200-000001000000}"/>
    <hyperlink ref="D83" r:id="rId3" xr:uid="{00000000-0004-0000-0200-000002000000}"/>
    <hyperlink ref="D55" r:id="rId4" xr:uid="{00000000-0004-0000-0200-000003000000}"/>
    <hyperlink ref="D5" r:id="rId5" xr:uid="{00000000-0004-0000-0200-000004000000}"/>
  </hyperlinks>
  <pageMargins left="0.25" right="0.25" top="0.75" bottom="0.75" header="0.3" footer="0.3"/>
  <pageSetup paperSize="9" scale="68" fitToHeight="0" orientation="landscape" r:id="rId6"/>
  <ignoredErrors>
    <ignoredError sqref="E89" formula="1"/>
  </ignoredErrors>
  <drawing r:id="rId7"/>
  <legacyDrawing r:id="rId8"/>
  <controls>
    <mc:AlternateContent xmlns:mc="http://schemas.openxmlformats.org/markup-compatibility/2006">
      <mc:Choice Requires="x14">
        <control shapeId="3074" r:id="rId9" name="CommandButton1">
          <controlPr defaultSize="0" autoLine="0" r:id="rId10">
            <anchor moveWithCells="1">
              <from>
                <xdr:col>6</xdr:col>
                <xdr:colOff>1021080</xdr:colOff>
                <xdr:row>1</xdr:row>
                <xdr:rowOff>45720</xdr:rowOff>
              </from>
              <to>
                <xdr:col>6</xdr:col>
                <xdr:colOff>3337560</xdr:colOff>
                <xdr:row>1</xdr:row>
                <xdr:rowOff>472440</xdr:rowOff>
              </to>
            </anchor>
          </controlPr>
        </control>
      </mc:Choice>
      <mc:Fallback>
        <control shapeId="3074" r:id="rId9" name="Command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 id="{E186DCBC-1DCF-4274-B601-C8DFF3390A17}">
            <xm:f>PROFILE!$C$24="No"</xm:f>
            <x14:dxf>
              <fill>
                <patternFill>
                  <bgColor theme="1"/>
                </patternFill>
              </fill>
            </x14:dxf>
          </x14:cfRule>
          <xm:sqref>D23</xm:sqref>
        </x14:conditionalFormatting>
        <x14:conditionalFormatting xmlns:xm="http://schemas.microsoft.com/office/excel/2006/main">
          <x14:cfRule type="expression" priority="18" id="{2E299662-5B17-4569-B0C1-79D0A0C0020E}">
            <xm:f>PROFILE!$C$15+PROFILE!$C$16=0</xm:f>
            <x14:dxf>
              <fill>
                <patternFill>
                  <bgColor theme="1"/>
                </patternFill>
              </fill>
            </x14:dxf>
          </x14:cfRule>
          <xm:sqref>D24:D29</xm:sqref>
        </x14:conditionalFormatting>
        <x14:conditionalFormatting xmlns:xm="http://schemas.microsoft.com/office/excel/2006/main">
          <x14:cfRule type="expression" priority="17" id="{5DF8583E-71B1-47EE-8FC8-085507C2080F}">
            <xm:f>PROFILE!$C$15+PROFILE!$C$16=0</xm:f>
            <x14:dxf>
              <fill>
                <patternFill>
                  <bgColor theme="1"/>
                </patternFill>
              </fill>
            </x14:dxf>
          </x14:cfRule>
          <xm:sqref>D44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152"/>
  <sheetViews>
    <sheetView showGridLines="0" topLeftCell="B1" zoomScaleNormal="100" workbookViewId="0">
      <selection activeCell="C6" sqref="C6"/>
    </sheetView>
  </sheetViews>
  <sheetFormatPr defaultColWidth="9.109375" defaultRowHeight="13.2" x14ac:dyDescent="0.25"/>
  <cols>
    <col min="1" max="1" width="10.6640625" style="206" hidden="1" customWidth="1"/>
    <col min="2" max="2" width="103.6640625" style="5" customWidth="1"/>
    <col min="3" max="3" width="20.109375" style="179" bestFit="1" customWidth="1"/>
    <col min="4" max="4" width="15.5546875" style="179" customWidth="1"/>
    <col min="5" max="5" width="9.109375" style="24" hidden="1" customWidth="1"/>
    <col min="6" max="6" width="26.44140625" customWidth="1"/>
    <col min="9" max="9" width="21.6640625" customWidth="1"/>
  </cols>
  <sheetData>
    <row r="1" spans="1:9" ht="30" customHeight="1" thickBot="1" x14ac:dyDescent="0.3"/>
    <row r="2" spans="1:9" ht="60" customHeight="1" thickBot="1" x14ac:dyDescent="0.3">
      <c r="B2" s="444" t="s">
        <v>37</v>
      </c>
      <c r="C2" s="445"/>
      <c r="D2" s="446"/>
      <c r="F2" s="19"/>
    </row>
    <row r="3" spans="1:9" ht="50.1" customHeight="1" thickBot="1" x14ac:dyDescent="0.3">
      <c r="B3" s="441" t="s">
        <v>345</v>
      </c>
      <c r="C3" s="442"/>
      <c r="D3" s="443"/>
      <c r="F3" s="447" t="s">
        <v>107</v>
      </c>
      <c r="G3" s="448"/>
      <c r="H3" s="448"/>
      <c r="I3" s="449"/>
    </row>
    <row r="4" spans="1:9" ht="18.75" customHeight="1" x14ac:dyDescent="0.25">
      <c r="B4" s="69"/>
      <c r="C4" s="71" t="s">
        <v>0</v>
      </c>
      <c r="D4" s="72" t="s">
        <v>1</v>
      </c>
      <c r="F4" s="438"/>
      <c r="G4" s="439"/>
      <c r="H4" s="439"/>
      <c r="I4" s="440"/>
    </row>
    <row r="5" spans="1:9" ht="24.9" customHeight="1" x14ac:dyDescent="0.25">
      <c r="B5" s="65" t="s">
        <v>57</v>
      </c>
      <c r="C5" s="190"/>
      <c r="D5" s="369" t="s">
        <v>340</v>
      </c>
      <c r="F5" s="438"/>
      <c r="G5" s="439"/>
      <c r="H5" s="439"/>
      <c r="I5" s="440"/>
    </row>
    <row r="6" spans="1:9" ht="20.100000000000001" customHeight="1" x14ac:dyDescent="0.25">
      <c r="A6" s="206" t="s">
        <v>395</v>
      </c>
      <c r="B6" s="66" t="s">
        <v>895</v>
      </c>
      <c r="C6" s="186"/>
      <c r="D6" s="191"/>
      <c r="E6" s="24">
        <f>IF(C6="Yes",1,0)</f>
        <v>0</v>
      </c>
      <c r="F6" s="438"/>
      <c r="G6" s="439"/>
      <c r="H6" s="439"/>
      <c r="I6" s="440"/>
    </row>
    <row r="7" spans="1:9" ht="20.100000000000001" customHeight="1" x14ac:dyDescent="0.25">
      <c r="A7" s="206" t="s">
        <v>396</v>
      </c>
      <c r="B7" s="66" t="s">
        <v>896</v>
      </c>
      <c r="C7" s="186"/>
      <c r="D7" s="191"/>
      <c r="E7" s="24">
        <f>IF(C7="Yes",1,0)</f>
        <v>0</v>
      </c>
      <c r="F7" s="438"/>
      <c r="G7" s="439"/>
      <c r="H7" s="439"/>
      <c r="I7" s="440"/>
    </row>
    <row r="8" spans="1:9" ht="20.100000000000001" customHeight="1" x14ac:dyDescent="0.25">
      <c r="A8" s="206" t="s">
        <v>397</v>
      </c>
      <c r="B8" s="66" t="s">
        <v>897</v>
      </c>
      <c r="C8" s="186"/>
      <c r="D8" s="191"/>
      <c r="E8" s="24">
        <f>IF(C8="Yes",1,0)</f>
        <v>0</v>
      </c>
      <c r="F8" s="438"/>
      <c r="G8" s="439"/>
      <c r="H8" s="439"/>
      <c r="I8" s="440"/>
    </row>
    <row r="9" spans="1:9" ht="24.75" customHeight="1" x14ac:dyDescent="0.25">
      <c r="B9" s="66" t="s">
        <v>898</v>
      </c>
      <c r="C9" s="186"/>
      <c r="D9" s="191"/>
      <c r="E9" s="24" t="str">
        <f>IF(C9="Yes",1,IF(C9="No",0,"N/A"))</f>
        <v>N/A</v>
      </c>
      <c r="F9" s="438"/>
      <c r="G9" s="439"/>
      <c r="H9" s="439"/>
      <c r="I9" s="440"/>
    </row>
    <row r="10" spans="1:9" ht="50.1" customHeight="1" x14ac:dyDescent="0.25">
      <c r="B10" s="65" t="s">
        <v>888</v>
      </c>
      <c r="C10" s="190"/>
      <c r="D10" s="369" t="s">
        <v>340</v>
      </c>
      <c r="F10" s="438"/>
      <c r="G10" s="439"/>
      <c r="H10" s="439"/>
      <c r="I10" s="440"/>
    </row>
    <row r="11" spans="1:9" ht="20.100000000000001" customHeight="1" x14ac:dyDescent="0.25">
      <c r="A11" s="206" t="s">
        <v>398</v>
      </c>
      <c r="B11" s="66" t="s">
        <v>899</v>
      </c>
      <c r="C11" s="186"/>
      <c r="D11" s="191"/>
      <c r="E11" s="24" t="e">
        <f>VLOOKUP(C11,OPTSCORE1,2,FALSE)</f>
        <v>#N/A</v>
      </c>
      <c r="F11" s="438"/>
      <c r="G11" s="439"/>
      <c r="H11" s="439"/>
      <c r="I11" s="440"/>
    </row>
    <row r="12" spans="1:9" ht="20.100000000000001" customHeight="1" x14ac:dyDescent="0.25">
      <c r="A12" s="206" t="s">
        <v>399</v>
      </c>
      <c r="B12" s="66" t="s">
        <v>900</v>
      </c>
      <c r="C12" s="186"/>
      <c r="D12" s="191"/>
      <c r="E12" s="24" t="e">
        <f>VLOOKUP(C12,OPTSCORE1,2,FALSE)</f>
        <v>#N/A</v>
      </c>
      <c r="F12" s="438"/>
      <c r="G12" s="439"/>
      <c r="H12" s="439"/>
      <c r="I12" s="440"/>
    </row>
    <row r="13" spans="1:9" ht="34.5" customHeight="1" x14ac:dyDescent="0.25">
      <c r="A13" s="206" t="s">
        <v>400</v>
      </c>
      <c r="B13" s="66" t="s">
        <v>901</v>
      </c>
      <c r="C13" s="186"/>
      <c r="D13" s="191"/>
      <c r="E13" s="24" t="e">
        <f>VLOOKUP(C13,OPTSCORE4,2,FALSE)</f>
        <v>#N/A</v>
      </c>
      <c r="F13" s="438"/>
      <c r="G13" s="439"/>
      <c r="H13" s="439"/>
      <c r="I13" s="440"/>
    </row>
    <row r="14" spans="1:9" ht="20.100000000000001" customHeight="1" x14ac:dyDescent="0.25">
      <c r="A14" s="206" t="s">
        <v>401</v>
      </c>
      <c r="B14" s="66" t="s">
        <v>902</v>
      </c>
      <c r="C14" s="186"/>
      <c r="D14" s="191"/>
      <c r="E14" s="24" t="e">
        <f>VLOOKUP(C14,OPTSCORE3,2,FALSE)</f>
        <v>#N/A</v>
      </c>
      <c r="F14" s="438"/>
      <c r="G14" s="439"/>
      <c r="H14" s="439"/>
      <c r="I14" s="440"/>
    </row>
    <row r="15" spans="1:9" ht="20.100000000000001" customHeight="1" x14ac:dyDescent="0.25">
      <c r="A15" s="206" t="s">
        <v>402</v>
      </c>
      <c r="B15" s="66" t="s">
        <v>903</v>
      </c>
      <c r="C15" s="186"/>
      <c r="D15" s="191"/>
      <c r="E15" s="24" t="e">
        <f>VLOOKUP(C15,OPTSCORE3,2,FALSE)</f>
        <v>#N/A</v>
      </c>
      <c r="F15" s="438"/>
      <c r="G15" s="439"/>
      <c r="H15" s="439"/>
      <c r="I15" s="440"/>
    </row>
    <row r="16" spans="1:9" ht="20.100000000000001" customHeight="1" x14ac:dyDescent="0.25">
      <c r="A16" s="206" t="s">
        <v>403</v>
      </c>
      <c r="B16" s="66" t="s">
        <v>904</v>
      </c>
      <c r="C16" s="186"/>
      <c r="D16" s="191"/>
      <c r="E16" s="24" t="e">
        <f>VLOOKUP(C16,OPTSCORE3,2,FALSE)</f>
        <v>#N/A</v>
      </c>
      <c r="F16" s="438"/>
      <c r="G16" s="439"/>
      <c r="H16" s="439"/>
      <c r="I16" s="440"/>
    </row>
    <row r="17" spans="1:9" ht="20.100000000000001" customHeight="1" x14ac:dyDescent="0.25">
      <c r="A17" s="206" t="s">
        <v>404</v>
      </c>
      <c r="B17" s="66" t="s">
        <v>905</v>
      </c>
      <c r="C17" s="186"/>
      <c r="D17" s="191"/>
      <c r="E17" s="24" t="e">
        <f>VLOOKUP(C17,OPTSCORE3,2,FALSE)</f>
        <v>#N/A</v>
      </c>
      <c r="F17" s="438"/>
      <c r="G17" s="439"/>
      <c r="H17" s="439"/>
      <c r="I17" s="440"/>
    </row>
    <row r="18" spans="1:9" ht="20.100000000000001" customHeight="1" x14ac:dyDescent="0.25">
      <c r="A18" s="206" t="s">
        <v>405</v>
      </c>
      <c r="B18" s="66" t="s">
        <v>906</v>
      </c>
      <c r="C18" s="186"/>
      <c r="D18" s="191"/>
      <c r="E18" s="24" t="e">
        <f>VLOOKUP(C18,OPTSCORE4,2,FALSE)</f>
        <v>#N/A</v>
      </c>
      <c r="F18" s="438"/>
      <c r="G18" s="439"/>
      <c r="H18" s="439"/>
      <c r="I18" s="440"/>
    </row>
    <row r="19" spans="1:9" ht="20.100000000000001" customHeight="1" x14ac:dyDescent="0.25">
      <c r="A19" s="206" t="s">
        <v>406</v>
      </c>
      <c r="B19" s="66" t="s">
        <v>907</v>
      </c>
      <c r="C19" s="186"/>
      <c r="D19" s="191"/>
      <c r="E19" s="24" t="e">
        <f>VLOOKUP(C19,OPTSCORE4,2,FALSE)</f>
        <v>#N/A</v>
      </c>
      <c r="F19" s="438"/>
      <c r="G19" s="439"/>
      <c r="H19" s="439"/>
      <c r="I19" s="440"/>
    </row>
    <row r="20" spans="1:9" ht="20.100000000000001" customHeight="1" x14ac:dyDescent="0.25">
      <c r="A20" s="206" t="s">
        <v>407</v>
      </c>
      <c r="B20" s="66" t="s">
        <v>908</v>
      </c>
      <c r="C20" s="186"/>
      <c r="D20" s="191"/>
      <c r="E20" s="24" t="e">
        <f>VLOOKUP(C20,OPTSCORE4,2,FALSE)</f>
        <v>#N/A</v>
      </c>
      <c r="F20" s="438"/>
      <c r="G20" s="439"/>
      <c r="H20" s="439"/>
      <c r="I20" s="440"/>
    </row>
    <row r="21" spans="1:9" ht="35.1" customHeight="1" x14ac:dyDescent="0.25">
      <c r="A21" s="206" t="s">
        <v>408</v>
      </c>
      <c r="B21" s="66" t="s">
        <v>1194</v>
      </c>
      <c r="C21" s="186"/>
      <c r="D21" s="191"/>
      <c r="E21" s="24" t="e">
        <f>VLOOKUP(C21,OPTSCORE3,2,FALSE)</f>
        <v>#N/A</v>
      </c>
      <c r="F21" s="438"/>
      <c r="G21" s="439"/>
      <c r="H21" s="439"/>
      <c r="I21" s="440"/>
    </row>
    <row r="22" spans="1:9" ht="20.100000000000001" customHeight="1" x14ac:dyDescent="0.25">
      <c r="A22" s="206" t="s">
        <v>409</v>
      </c>
      <c r="B22" s="66" t="s">
        <v>909</v>
      </c>
      <c r="C22" s="186"/>
      <c r="D22" s="191"/>
      <c r="E22" s="24" t="e">
        <f>VLOOKUP(C22,OPTSCORE3,2,FALSE)</f>
        <v>#N/A</v>
      </c>
      <c r="F22" s="438"/>
      <c r="G22" s="439"/>
      <c r="H22" s="439"/>
      <c r="I22" s="440"/>
    </row>
    <row r="23" spans="1:9" ht="20.100000000000001" customHeight="1" x14ac:dyDescent="0.25">
      <c r="A23" s="206" t="s">
        <v>410</v>
      </c>
      <c r="B23" s="66" t="s">
        <v>910</v>
      </c>
      <c r="C23" s="186"/>
      <c r="D23" s="191"/>
      <c r="E23" s="24" t="e">
        <f>VLOOKUP(C23,OPTSCORE4,2,FALSE)</f>
        <v>#N/A</v>
      </c>
      <c r="F23" s="438"/>
      <c r="G23" s="439"/>
      <c r="H23" s="439"/>
      <c r="I23" s="440"/>
    </row>
    <row r="24" spans="1:9" ht="35.1" customHeight="1" x14ac:dyDescent="0.25">
      <c r="A24" s="206" t="s">
        <v>411</v>
      </c>
      <c r="B24" s="66" t="s">
        <v>911</v>
      </c>
      <c r="C24" s="186"/>
      <c r="D24" s="191"/>
      <c r="E24" s="24">
        <f>IF(C24="Yes",1,(IF(C24="N/A","N/A",0)))</f>
        <v>0</v>
      </c>
      <c r="F24" s="438"/>
      <c r="G24" s="439"/>
      <c r="H24" s="439"/>
      <c r="I24" s="440"/>
    </row>
    <row r="25" spans="1:9" ht="35.1" customHeight="1" x14ac:dyDescent="0.25">
      <c r="A25" s="206" t="s">
        <v>412</v>
      </c>
      <c r="B25" s="66" t="s">
        <v>912</v>
      </c>
      <c r="C25" s="186"/>
      <c r="D25" s="191"/>
      <c r="E25" s="24">
        <f>IF(C25="Yes",1,0)</f>
        <v>0</v>
      </c>
      <c r="F25" s="438"/>
      <c r="G25" s="439"/>
      <c r="H25" s="439"/>
      <c r="I25" s="440"/>
    </row>
    <row r="26" spans="1:9" ht="35.1" customHeight="1" x14ac:dyDescent="0.25">
      <c r="A26" s="206" t="s">
        <v>413</v>
      </c>
      <c r="B26" s="66" t="s">
        <v>913</v>
      </c>
      <c r="C26" s="186"/>
      <c r="D26" s="191"/>
      <c r="E26" s="24">
        <f>IF(C26="Yes",1,0)</f>
        <v>0</v>
      </c>
      <c r="F26" s="438"/>
      <c r="G26" s="439"/>
      <c r="H26" s="439"/>
      <c r="I26" s="440"/>
    </row>
    <row r="27" spans="1:9" ht="35.1" customHeight="1" x14ac:dyDescent="0.25">
      <c r="A27" s="206" t="s">
        <v>414</v>
      </c>
      <c r="B27" s="66" t="s">
        <v>914</v>
      </c>
      <c r="C27" s="190"/>
      <c r="D27" s="187"/>
      <c r="E27" s="24">
        <f>IF(D27="Yes",1,0)</f>
        <v>0</v>
      </c>
      <c r="F27" s="438"/>
      <c r="G27" s="439"/>
      <c r="H27" s="439"/>
      <c r="I27" s="440"/>
    </row>
    <row r="28" spans="1:9" ht="35.1" customHeight="1" x14ac:dyDescent="0.25">
      <c r="A28" s="206" t="s">
        <v>415</v>
      </c>
      <c r="B28" s="66" t="s">
        <v>915</v>
      </c>
      <c r="C28" s="190"/>
      <c r="D28" s="187"/>
      <c r="E28" s="24">
        <f>IF(D28="Yes",1,(IF(D28="N/A","N/A",0)))</f>
        <v>0</v>
      </c>
      <c r="F28" s="438"/>
      <c r="G28" s="439"/>
      <c r="H28" s="439"/>
      <c r="I28" s="440"/>
    </row>
    <row r="29" spans="1:9" ht="35.1" customHeight="1" x14ac:dyDescent="0.25">
      <c r="A29" s="206" t="s">
        <v>416</v>
      </c>
      <c r="B29" s="66" t="s">
        <v>916</v>
      </c>
      <c r="C29" s="190"/>
      <c r="D29" s="187"/>
      <c r="E29" s="24">
        <f>IF(D29="Yes",1,0)</f>
        <v>0</v>
      </c>
      <c r="F29" s="438"/>
      <c r="G29" s="439"/>
      <c r="H29" s="439"/>
      <c r="I29" s="440"/>
    </row>
    <row r="30" spans="1:9" ht="20.100000000000001" customHeight="1" x14ac:dyDescent="0.25">
      <c r="A30" s="206" t="s">
        <v>417</v>
      </c>
      <c r="B30" s="66" t="s">
        <v>917</v>
      </c>
      <c r="C30" s="190"/>
      <c r="D30" s="188"/>
      <c r="F30" s="438"/>
      <c r="G30" s="439"/>
      <c r="H30" s="439"/>
      <c r="I30" s="440"/>
    </row>
    <row r="31" spans="1:9" ht="20.100000000000001" customHeight="1" x14ac:dyDescent="0.25">
      <c r="A31" s="206" t="s">
        <v>418</v>
      </c>
      <c r="B31" s="66" t="s">
        <v>918</v>
      </c>
      <c r="C31" s="190"/>
      <c r="D31" s="187"/>
      <c r="E31" s="24">
        <f>IF(D31="Yes",1,0)</f>
        <v>0</v>
      </c>
      <c r="F31" s="438"/>
      <c r="G31" s="439"/>
      <c r="H31" s="439"/>
      <c r="I31" s="440"/>
    </row>
    <row r="32" spans="1:9" ht="50.1" customHeight="1" x14ac:dyDescent="0.25">
      <c r="B32" s="65" t="s">
        <v>1389</v>
      </c>
      <c r="C32" s="190"/>
      <c r="D32" s="369" t="s">
        <v>340</v>
      </c>
      <c r="F32" s="438"/>
      <c r="G32" s="439"/>
      <c r="H32" s="439"/>
      <c r="I32" s="440"/>
    </row>
    <row r="33" spans="1:9" ht="35.1" customHeight="1" x14ac:dyDescent="0.25">
      <c r="A33" s="206" t="s">
        <v>472</v>
      </c>
      <c r="B33" s="66" t="s">
        <v>919</v>
      </c>
      <c r="C33" s="186"/>
      <c r="D33" s="192"/>
      <c r="E33" s="24">
        <f t="shared" ref="E33:E48" si="0">IF(C33="Yes",1,0)</f>
        <v>0</v>
      </c>
      <c r="F33" s="438"/>
      <c r="G33" s="439"/>
      <c r="H33" s="439"/>
      <c r="I33" s="440"/>
    </row>
    <row r="34" spans="1:9" ht="20.100000000000001" customHeight="1" x14ac:dyDescent="0.25">
      <c r="A34" s="206" t="s">
        <v>473</v>
      </c>
      <c r="B34" s="66" t="s">
        <v>920</v>
      </c>
      <c r="C34" s="186"/>
      <c r="D34" s="305"/>
      <c r="E34" s="24">
        <f>IF(C34="Yes",1,(IF(C34="N/A","N/A",0)))</f>
        <v>0</v>
      </c>
      <c r="F34" s="438"/>
      <c r="G34" s="439"/>
      <c r="H34" s="439"/>
      <c r="I34" s="440"/>
    </row>
    <row r="35" spans="1:9" ht="20.100000000000001" customHeight="1" x14ac:dyDescent="0.25">
      <c r="A35" s="206" t="s">
        <v>474</v>
      </c>
      <c r="B35" s="66" t="s">
        <v>921</v>
      </c>
      <c r="C35" s="186"/>
      <c r="D35" s="305"/>
      <c r="E35" s="24">
        <f t="shared" ref="E35:E43" si="1">IF(C35="Yes",1,(IF(C35="N/A","N/A",0)))</f>
        <v>0</v>
      </c>
      <c r="F35" s="438"/>
      <c r="G35" s="439"/>
      <c r="H35" s="439"/>
      <c r="I35" s="440"/>
    </row>
    <row r="36" spans="1:9" ht="20.100000000000001" customHeight="1" x14ac:dyDescent="0.25">
      <c r="A36" s="206" t="s">
        <v>475</v>
      </c>
      <c r="B36" s="66" t="s">
        <v>922</v>
      </c>
      <c r="C36" s="186"/>
      <c r="D36" s="305"/>
      <c r="E36" s="24">
        <f t="shared" si="1"/>
        <v>0</v>
      </c>
      <c r="F36" s="438"/>
      <c r="G36" s="439"/>
      <c r="H36" s="439"/>
      <c r="I36" s="440"/>
    </row>
    <row r="37" spans="1:9" ht="20.100000000000001" customHeight="1" x14ac:dyDescent="0.25">
      <c r="A37" s="206" t="s">
        <v>476</v>
      </c>
      <c r="B37" s="66" t="s">
        <v>923</v>
      </c>
      <c r="C37" s="186"/>
      <c r="D37" s="305"/>
      <c r="E37" s="24">
        <f t="shared" si="1"/>
        <v>0</v>
      </c>
      <c r="F37" s="438"/>
      <c r="G37" s="439"/>
      <c r="H37" s="439"/>
      <c r="I37" s="440"/>
    </row>
    <row r="38" spans="1:9" ht="20.100000000000001" customHeight="1" x14ac:dyDescent="0.25">
      <c r="A38" s="206" t="s">
        <v>477</v>
      </c>
      <c r="B38" s="66" t="s">
        <v>1354</v>
      </c>
      <c r="C38" s="186"/>
      <c r="D38" s="305"/>
      <c r="E38" s="24">
        <f t="shared" si="1"/>
        <v>0</v>
      </c>
      <c r="F38" s="438"/>
      <c r="G38" s="439"/>
      <c r="H38" s="439"/>
      <c r="I38" s="440"/>
    </row>
    <row r="39" spans="1:9" ht="20.100000000000001" customHeight="1" x14ac:dyDescent="0.25">
      <c r="A39" s="206" t="s">
        <v>478</v>
      </c>
      <c r="B39" s="66" t="s">
        <v>924</v>
      </c>
      <c r="C39" s="186"/>
      <c r="D39" s="305"/>
      <c r="E39" s="24">
        <f t="shared" si="1"/>
        <v>0</v>
      </c>
      <c r="F39" s="438"/>
      <c r="G39" s="439"/>
      <c r="H39" s="439"/>
      <c r="I39" s="440"/>
    </row>
    <row r="40" spans="1:9" ht="35.1" customHeight="1" x14ac:dyDescent="0.25">
      <c r="A40" s="206" t="s">
        <v>479</v>
      </c>
      <c r="B40" s="66" t="s">
        <v>925</v>
      </c>
      <c r="C40" s="186"/>
      <c r="D40" s="305"/>
      <c r="E40" s="24">
        <f t="shared" si="1"/>
        <v>0</v>
      </c>
      <c r="F40" s="438"/>
      <c r="G40" s="439"/>
      <c r="H40" s="439"/>
      <c r="I40" s="440"/>
    </row>
    <row r="41" spans="1:9" ht="20.100000000000001" customHeight="1" x14ac:dyDescent="0.25">
      <c r="A41" s="206" t="s">
        <v>480</v>
      </c>
      <c r="B41" s="66" t="s">
        <v>926</v>
      </c>
      <c r="C41" s="186"/>
      <c r="D41" s="305"/>
      <c r="E41" s="24">
        <f t="shared" si="1"/>
        <v>0</v>
      </c>
      <c r="F41" s="438"/>
      <c r="G41" s="439"/>
      <c r="H41" s="439"/>
      <c r="I41" s="440"/>
    </row>
    <row r="42" spans="1:9" ht="20.100000000000001" customHeight="1" x14ac:dyDescent="0.25">
      <c r="A42" s="206" t="s">
        <v>481</v>
      </c>
      <c r="B42" s="66" t="s">
        <v>927</v>
      </c>
      <c r="C42" s="186"/>
      <c r="D42" s="305"/>
      <c r="E42" s="24">
        <f t="shared" si="1"/>
        <v>0</v>
      </c>
      <c r="F42" s="438"/>
      <c r="G42" s="439"/>
      <c r="H42" s="439"/>
      <c r="I42" s="440"/>
    </row>
    <row r="43" spans="1:9" ht="20.100000000000001" customHeight="1" x14ac:dyDescent="0.25">
      <c r="A43" s="206" t="s">
        <v>482</v>
      </c>
      <c r="B43" s="66" t="s">
        <v>928</v>
      </c>
      <c r="C43" s="186"/>
      <c r="D43" s="305"/>
      <c r="E43" s="24">
        <f t="shared" si="1"/>
        <v>0</v>
      </c>
      <c r="F43" s="438"/>
      <c r="G43" s="439"/>
      <c r="H43" s="439"/>
      <c r="I43" s="440"/>
    </row>
    <row r="44" spans="1:9" ht="24.9" customHeight="1" x14ac:dyDescent="0.25">
      <c r="B44" s="65" t="s">
        <v>54</v>
      </c>
      <c r="C44" s="193"/>
      <c r="D44" s="192"/>
      <c r="F44" s="438"/>
      <c r="G44" s="439"/>
      <c r="H44" s="439"/>
      <c r="I44" s="440"/>
    </row>
    <row r="45" spans="1:9" ht="35.1" customHeight="1" x14ac:dyDescent="0.25">
      <c r="A45" s="206" t="s">
        <v>483</v>
      </c>
      <c r="B45" s="66" t="s">
        <v>929</v>
      </c>
      <c r="C45" s="186"/>
      <c r="D45" s="192"/>
      <c r="E45" s="24">
        <f>IF(C45="Yes",1,(IF(C45="N/A","N/A",0)))</f>
        <v>0</v>
      </c>
      <c r="F45" s="438"/>
      <c r="G45" s="439"/>
      <c r="H45" s="439"/>
      <c r="I45" s="440"/>
    </row>
    <row r="46" spans="1:9" x14ac:dyDescent="0.25">
      <c r="A46" s="206" t="s">
        <v>484</v>
      </c>
      <c r="B46" s="66" t="s">
        <v>930</v>
      </c>
      <c r="C46" s="186"/>
      <c r="D46" s="192"/>
      <c r="E46" s="24">
        <f>IF(C45="N/A","N/A",(IF(C46="N/A","N/A",(IF(C46="Yes",1,0)))))</f>
        <v>0</v>
      </c>
      <c r="F46" s="438"/>
      <c r="G46" s="439"/>
      <c r="H46" s="439"/>
      <c r="I46" s="440"/>
    </row>
    <row r="47" spans="1:9" ht="50.1" customHeight="1" x14ac:dyDescent="0.25">
      <c r="B47" s="65" t="s">
        <v>1387</v>
      </c>
      <c r="C47" s="193"/>
      <c r="D47" s="192"/>
      <c r="F47" s="438"/>
      <c r="G47" s="439"/>
      <c r="H47" s="439"/>
      <c r="I47" s="440"/>
    </row>
    <row r="48" spans="1:9" ht="35.1" customHeight="1" x14ac:dyDescent="0.25">
      <c r="A48" s="206" t="s">
        <v>485</v>
      </c>
      <c r="B48" s="66" t="s">
        <v>931</v>
      </c>
      <c r="C48" s="186"/>
      <c r="D48" s="192"/>
      <c r="E48" s="24">
        <f t="shared" si="0"/>
        <v>0</v>
      </c>
      <c r="F48" s="438"/>
      <c r="G48" s="439"/>
      <c r="H48" s="439"/>
      <c r="I48" s="440"/>
    </row>
    <row r="49" spans="1:9" ht="35.1" customHeight="1" x14ac:dyDescent="0.25">
      <c r="A49" s="206" t="s">
        <v>486</v>
      </c>
      <c r="B49" s="66" t="s">
        <v>1388</v>
      </c>
      <c r="C49" s="193"/>
      <c r="D49" s="187"/>
      <c r="E49" s="24">
        <f>IF(D49&gt;=90%,1,D49/90%)</f>
        <v>0</v>
      </c>
      <c r="F49" s="438"/>
      <c r="G49" s="439"/>
      <c r="H49" s="439"/>
      <c r="I49" s="440"/>
    </row>
    <row r="50" spans="1:9" ht="20.100000000000001" customHeight="1" x14ac:dyDescent="0.25">
      <c r="A50" s="206" t="s">
        <v>487</v>
      </c>
      <c r="B50" s="66" t="s">
        <v>932</v>
      </c>
      <c r="C50" s="193"/>
      <c r="D50" s="187"/>
      <c r="E50" s="24">
        <f>IF(D50="Yes",1,0)</f>
        <v>0</v>
      </c>
      <c r="F50" s="438"/>
      <c r="G50" s="439"/>
      <c r="H50" s="439"/>
      <c r="I50" s="440"/>
    </row>
    <row r="51" spans="1:9" ht="20.100000000000001" customHeight="1" x14ac:dyDescent="0.25">
      <c r="A51" s="206" t="s">
        <v>488</v>
      </c>
      <c r="B51" s="66" t="s">
        <v>933</v>
      </c>
      <c r="C51" s="193"/>
      <c r="D51" s="187"/>
      <c r="E51" s="24">
        <f>IF(D51="Yes",1,0)</f>
        <v>0</v>
      </c>
      <c r="F51" s="438"/>
      <c r="G51" s="439"/>
      <c r="H51" s="439"/>
      <c r="I51" s="440"/>
    </row>
    <row r="52" spans="1:9" ht="20.100000000000001" customHeight="1" x14ac:dyDescent="0.25">
      <c r="A52" s="206" t="s">
        <v>489</v>
      </c>
      <c r="B52" s="66" t="s">
        <v>934</v>
      </c>
      <c r="C52" s="193"/>
      <c r="D52" s="187"/>
      <c r="E52" s="24">
        <f>IF(D52="Yes",1,0)</f>
        <v>0</v>
      </c>
      <c r="F52" s="438"/>
      <c r="G52" s="439"/>
      <c r="H52" s="439"/>
      <c r="I52" s="440"/>
    </row>
    <row r="53" spans="1:9" ht="50.1" customHeight="1" x14ac:dyDescent="0.25">
      <c r="B53" s="65" t="s">
        <v>58</v>
      </c>
      <c r="C53" s="193"/>
      <c r="D53" s="192"/>
      <c r="F53" s="438"/>
      <c r="G53" s="439"/>
      <c r="H53" s="439"/>
      <c r="I53" s="440"/>
    </row>
    <row r="54" spans="1:9" ht="20.100000000000001" customHeight="1" x14ac:dyDescent="0.25">
      <c r="A54" s="206" t="s">
        <v>490</v>
      </c>
      <c r="B54" s="66" t="s">
        <v>935</v>
      </c>
      <c r="C54" s="193"/>
      <c r="D54" s="187"/>
      <c r="F54" s="438"/>
      <c r="G54" s="439"/>
      <c r="H54" s="439"/>
      <c r="I54" s="440"/>
    </row>
    <row r="55" spans="1:9" ht="20.100000000000001" customHeight="1" x14ac:dyDescent="0.25">
      <c r="A55" s="206" t="s">
        <v>491</v>
      </c>
      <c r="B55" s="66" t="s">
        <v>936</v>
      </c>
      <c r="C55" s="186"/>
      <c r="D55" s="192"/>
      <c r="E55" s="24">
        <f>IF(D54="No","N/A",(IF(C55="Yes",1,0)))</f>
        <v>0</v>
      </c>
      <c r="F55" s="438"/>
      <c r="G55" s="439"/>
      <c r="H55" s="439"/>
      <c r="I55" s="440"/>
    </row>
    <row r="56" spans="1:9" ht="20.100000000000001" customHeight="1" x14ac:dyDescent="0.25">
      <c r="A56" s="206" t="s">
        <v>492</v>
      </c>
      <c r="B56" s="66" t="s">
        <v>937</v>
      </c>
      <c r="C56" s="186"/>
      <c r="D56" s="192"/>
      <c r="E56" s="24">
        <f>IF(D54="No","N/A",(IF(C56="Yes",1,0)))</f>
        <v>0</v>
      </c>
      <c r="F56" s="438"/>
      <c r="G56" s="439"/>
      <c r="H56" s="439"/>
      <c r="I56" s="440"/>
    </row>
    <row r="57" spans="1:9" ht="20.100000000000001" customHeight="1" x14ac:dyDescent="0.25">
      <c r="A57" s="206" t="s">
        <v>493</v>
      </c>
      <c r="B57" s="66" t="s">
        <v>938</v>
      </c>
      <c r="C57" s="193"/>
      <c r="D57" s="187"/>
      <c r="E57" s="24">
        <f>IF(D54="No","N/A",(IF(D57="Yes",1,0)))</f>
        <v>0</v>
      </c>
      <c r="F57" s="438"/>
      <c r="G57" s="439"/>
      <c r="H57" s="439"/>
      <c r="I57" s="440"/>
    </row>
    <row r="58" spans="1:9" ht="20.100000000000001" customHeight="1" x14ac:dyDescent="0.25">
      <c r="A58" s="206" t="s">
        <v>494</v>
      </c>
      <c r="B58" s="66" t="s">
        <v>939</v>
      </c>
      <c r="C58" s="193"/>
      <c r="D58" s="187"/>
      <c r="E58" s="24">
        <f>IF(D54="No","N/A",(IF(D58="Yes",1,0)))</f>
        <v>0</v>
      </c>
      <c r="F58" s="438"/>
      <c r="G58" s="439"/>
      <c r="H58" s="439"/>
      <c r="I58" s="440"/>
    </row>
    <row r="59" spans="1:9" ht="20.100000000000001" customHeight="1" x14ac:dyDescent="0.25">
      <c r="B59" s="65" t="s">
        <v>1207</v>
      </c>
      <c r="C59" s="193"/>
      <c r="D59" s="192"/>
      <c r="F59" s="438"/>
      <c r="G59" s="439"/>
      <c r="H59" s="439"/>
      <c r="I59" s="440"/>
    </row>
    <row r="60" spans="1:9" ht="35.25" customHeight="1" x14ac:dyDescent="0.25">
      <c r="B60" s="304" t="s">
        <v>1208</v>
      </c>
      <c r="C60" s="306"/>
      <c r="D60" s="305"/>
      <c r="E60" s="24">
        <f t="shared" ref="E60" si="2">IF(C60="Yes",1,0)</f>
        <v>0</v>
      </c>
      <c r="F60" s="438"/>
      <c r="G60" s="439"/>
      <c r="H60" s="439"/>
      <c r="I60" s="440"/>
    </row>
    <row r="61" spans="1:9" ht="19.5" customHeight="1" thickBot="1" x14ac:dyDescent="0.3">
      <c r="B61" s="135" t="s">
        <v>93</v>
      </c>
      <c r="C61" s="67">
        <f>IF(PROFILE!C22=0,E60,AVERAGE(E6:E26,E33:E48,E55:E56,E60))</f>
        <v>0</v>
      </c>
      <c r="D61" s="68" t="str">
        <f>IF(PROFILE!C22=0,"N/A",AVERAGE(E27:E31,E49:E52,E57:E58))</f>
        <v>N/A</v>
      </c>
      <c r="F61" s="438"/>
      <c r="G61" s="439"/>
      <c r="H61" s="439"/>
      <c r="I61" s="440"/>
    </row>
    <row r="62" spans="1:9" ht="20.100000000000001" customHeight="1" thickBot="1" x14ac:dyDescent="0.3">
      <c r="B62" s="17"/>
      <c r="C62" s="181"/>
      <c r="D62" s="181"/>
      <c r="F62" s="438"/>
      <c r="G62" s="439"/>
      <c r="H62" s="439"/>
      <c r="I62" s="440"/>
    </row>
    <row r="63" spans="1:9" ht="65.099999999999994" customHeight="1" thickBot="1" x14ac:dyDescent="0.3">
      <c r="B63" s="441" t="s">
        <v>339</v>
      </c>
      <c r="C63" s="442"/>
      <c r="D63" s="443"/>
      <c r="F63" s="438"/>
      <c r="G63" s="439"/>
      <c r="H63" s="439"/>
      <c r="I63" s="440"/>
    </row>
    <row r="64" spans="1:9" ht="18.75" customHeight="1" x14ac:dyDescent="0.25">
      <c r="B64" s="69"/>
      <c r="C64" s="71" t="s">
        <v>0</v>
      </c>
      <c r="D64" s="72" t="s">
        <v>1</v>
      </c>
      <c r="F64" s="438"/>
      <c r="G64" s="439"/>
      <c r="H64" s="439"/>
      <c r="I64" s="440"/>
    </row>
    <row r="65" spans="1:9" ht="24.9" customHeight="1" x14ac:dyDescent="0.25">
      <c r="B65" s="73" t="s">
        <v>55</v>
      </c>
      <c r="C65" s="193"/>
      <c r="D65" s="369" t="s">
        <v>340</v>
      </c>
      <c r="F65" s="438"/>
      <c r="G65" s="439"/>
      <c r="H65" s="439"/>
      <c r="I65" s="440"/>
    </row>
    <row r="66" spans="1:9" ht="24.9" customHeight="1" x14ac:dyDescent="0.25">
      <c r="B66" s="75" t="s">
        <v>940</v>
      </c>
      <c r="C66" s="186"/>
      <c r="D66" s="191"/>
      <c r="E66" s="24">
        <f>IF(C66="Yes",1,0)</f>
        <v>0</v>
      </c>
      <c r="F66" s="438"/>
      <c r="G66" s="439"/>
      <c r="H66" s="439"/>
      <c r="I66" s="440"/>
    </row>
    <row r="67" spans="1:9" ht="20.100000000000001" customHeight="1" x14ac:dyDescent="0.25">
      <c r="A67" s="206" t="s">
        <v>495</v>
      </c>
      <c r="B67" s="66" t="s">
        <v>941</v>
      </c>
      <c r="C67" s="186"/>
      <c r="D67" s="191"/>
      <c r="E67" s="268">
        <f>IF(C67="Yes",1,IF(AND(OR(C68="No",C68="N/A"),C69="No"),1,0))</f>
        <v>0</v>
      </c>
      <c r="F67" s="438"/>
      <c r="G67" s="439"/>
      <c r="H67" s="439"/>
      <c r="I67" s="440"/>
    </row>
    <row r="68" spans="1:9" ht="35.1" customHeight="1" x14ac:dyDescent="0.25">
      <c r="A68" s="206" t="s">
        <v>496</v>
      </c>
      <c r="B68" s="66" t="s">
        <v>942</v>
      </c>
      <c r="C68" s="186"/>
      <c r="D68" s="191"/>
      <c r="F68" s="438"/>
      <c r="G68" s="439"/>
      <c r="H68" s="439"/>
      <c r="I68" s="440"/>
    </row>
    <row r="69" spans="1:9" ht="20.100000000000001" customHeight="1" x14ac:dyDescent="0.25">
      <c r="A69" s="206" t="s">
        <v>497</v>
      </c>
      <c r="B69" s="66" t="s">
        <v>943</v>
      </c>
      <c r="C69" s="186"/>
      <c r="D69" s="191"/>
      <c r="F69" s="438"/>
      <c r="G69" s="439"/>
      <c r="H69" s="439"/>
      <c r="I69" s="440"/>
    </row>
    <row r="70" spans="1:9" ht="20.100000000000001" customHeight="1" x14ac:dyDescent="0.25">
      <c r="A70" s="206" t="s">
        <v>498</v>
      </c>
      <c r="B70" s="66" t="s">
        <v>944</v>
      </c>
      <c r="C70" s="186"/>
      <c r="D70" s="191"/>
      <c r="E70" s="24">
        <f>IF(C70="Yes",0.6,0)</f>
        <v>0</v>
      </c>
      <c r="F70" s="438"/>
      <c r="G70" s="439"/>
      <c r="H70" s="439"/>
      <c r="I70" s="440"/>
    </row>
    <row r="71" spans="1:9" ht="20.100000000000001" customHeight="1" x14ac:dyDescent="0.25">
      <c r="B71" s="216" t="s">
        <v>889</v>
      </c>
      <c r="C71" s="190"/>
      <c r="D71" s="191"/>
      <c r="E71" s="24">
        <f>COUNTIF(C72:C81,"Yes")</f>
        <v>0</v>
      </c>
      <c r="F71" s="438"/>
      <c r="G71" s="439"/>
      <c r="H71" s="439"/>
      <c r="I71" s="440"/>
    </row>
    <row r="72" spans="1:9" ht="20.100000000000001" customHeight="1" x14ac:dyDescent="0.25">
      <c r="A72" s="206" t="s">
        <v>499</v>
      </c>
      <c r="B72" s="66" t="s">
        <v>85</v>
      </c>
      <c r="C72" s="186"/>
      <c r="D72" s="191"/>
      <c r="E72" s="24">
        <f>COUNTA(C72:C81)</f>
        <v>0</v>
      </c>
      <c r="F72" s="438"/>
      <c r="G72" s="439"/>
      <c r="H72" s="439"/>
      <c r="I72" s="440"/>
    </row>
    <row r="73" spans="1:9" ht="20.100000000000001" customHeight="1" x14ac:dyDescent="0.25">
      <c r="A73" s="206" t="s">
        <v>500</v>
      </c>
      <c r="B73" s="66" t="s">
        <v>354</v>
      </c>
      <c r="C73" s="186"/>
      <c r="D73" s="191"/>
      <c r="E73" s="24" t="e">
        <f>IF(C70="No",0,(E71/E72)*0.4)</f>
        <v>#DIV/0!</v>
      </c>
      <c r="F73" s="438"/>
      <c r="G73" s="439"/>
      <c r="H73" s="439"/>
      <c r="I73" s="440"/>
    </row>
    <row r="74" spans="1:9" ht="20.100000000000001" customHeight="1" x14ac:dyDescent="0.25">
      <c r="A74" s="206" t="s">
        <v>501</v>
      </c>
      <c r="B74" s="66" t="s">
        <v>355</v>
      </c>
      <c r="C74" s="186"/>
      <c r="D74" s="191"/>
      <c r="E74" s="268" t="e">
        <f>E70+E73</f>
        <v>#DIV/0!</v>
      </c>
      <c r="F74" s="438"/>
      <c r="G74" s="439"/>
      <c r="H74" s="439"/>
      <c r="I74" s="440"/>
    </row>
    <row r="75" spans="1:9" ht="20.100000000000001" customHeight="1" x14ac:dyDescent="0.25">
      <c r="A75" s="206" t="s">
        <v>502</v>
      </c>
      <c r="B75" s="66" t="s">
        <v>356</v>
      </c>
      <c r="C75" s="186"/>
      <c r="D75" s="191"/>
      <c r="F75" s="438"/>
      <c r="G75" s="439"/>
      <c r="H75" s="439"/>
      <c r="I75" s="440"/>
    </row>
    <row r="76" spans="1:9" ht="20.100000000000001" customHeight="1" x14ac:dyDescent="0.25">
      <c r="A76" s="206" t="s">
        <v>503</v>
      </c>
      <c r="B76" s="66" t="s">
        <v>357</v>
      </c>
      <c r="C76" s="186"/>
      <c r="D76" s="191"/>
      <c r="F76" s="438"/>
      <c r="G76" s="439"/>
      <c r="H76" s="439"/>
      <c r="I76" s="440"/>
    </row>
    <row r="77" spans="1:9" ht="20.100000000000001" customHeight="1" x14ac:dyDescent="0.25">
      <c r="A77" s="206" t="s">
        <v>504</v>
      </c>
      <c r="B77" s="66" t="s">
        <v>174</v>
      </c>
      <c r="C77" s="186"/>
      <c r="D77" s="191"/>
      <c r="F77" s="438"/>
      <c r="G77" s="439"/>
      <c r="H77" s="439"/>
      <c r="I77" s="440"/>
    </row>
    <row r="78" spans="1:9" ht="20.100000000000001" customHeight="1" x14ac:dyDescent="0.25">
      <c r="A78" s="206" t="s">
        <v>505</v>
      </c>
      <c r="B78" s="66" t="s">
        <v>358</v>
      </c>
      <c r="C78" s="186"/>
      <c r="D78" s="191"/>
      <c r="F78" s="438"/>
      <c r="G78" s="439"/>
      <c r="H78" s="439"/>
      <c r="I78" s="440"/>
    </row>
    <row r="79" spans="1:9" ht="20.100000000000001" customHeight="1" x14ac:dyDescent="0.25">
      <c r="A79" s="206" t="s">
        <v>506</v>
      </c>
      <c r="B79" s="66" t="s">
        <v>3</v>
      </c>
      <c r="C79" s="186"/>
      <c r="D79" s="191"/>
      <c r="F79" s="438"/>
      <c r="G79" s="439"/>
      <c r="H79" s="439"/>
      <c r="I79" s="440"/>
    </row>
    <row r="80" spans="1:9" ht="20.100000000000001" customHeight="1" x14ac:dyDescent="0.25">
      <c r="A80" s="206" t="s">
        <v>507</v>
      </c>
      <c r="B80" s="66" t="s">
        <v>86</v>
      </c>
      <c r="C80" s="186"/>
      <c r="D80" s="191"/>
      <c r="F80" s="438"/>
      <c r="G80" s="439"/>
      <c r="H80" s="439"/>
      <c r="I80" s="440"/>
    </row>
    <row r="81" spans="1:9" ht="20.100000000000001" customHeight="1" x14ac:dyDescent="0.25">
      <c r="A81" s="206" t="s">
        <v>508</v>
      </c>
      <c r="B81" s="66" t="s">
        <v>4</v>
      </c>
      <c r="C81" s="186"/>
      <c r="D81" s="191"/>
      <c r="F81" s="438"/>
      <c r="G81" s="439"/>
      <c r="H81" s="439"/>
      <c r="I81" s="440"/>
    </row>
    <row r="82" spans="1:9" ht="35.1" customHeight="1" x14ac:dyDescent="0.25">
      <c r="A82" s="206" t="s">
        <v>509</v>
      </c>
      <c r="B82" s="66" t="s">
        <v>175</v>
      </c>
      <c r="C82" s="186"/>
      <c r="D82" s="191"/>
      <c r="E82" s="24">
        <f>IF(C82="Yes",1,0)</f>
        <v>0</v>
      </c>
      <c r="F82" s="438"/>
      <c r="G82" s="439"/>
      <c r="H82" s="439"/>
      <c r="I82" s="440"/>
    </row>
    <row r="83" spans="1:9" ht="20.100000000000001" customHeight="1" x14ac:dyDescent="0.25">
      <c r="A83" s="206" t="s">
        <v>510</v>
      </c>
      <c r="B83" s="65" t="s">
        <v>320</v>
      </c>
      <c r="C83" s="186"/>
      <c r="D83" s="191"/>
      <c r="E83" s="24">
        <f>IF(C83="No",1,0)</f>
        <v>0</v>
      </c>
      <c r="F83" s="438"/>
      <c r="G83" s="439"/>
      <c r="H83" s="439"/>
      <c r="I83" s="440"/>
    </row>
    <row r="84" spans="1:9" ht="20.100000000000001" customHeight="1" x14ac:dyDescent="0.25">
      <c r="A84" s="206" t="s">
        <v>511</v>
      </c>
      <c r="B84" s="66" t="s">
        <v>379</v>
      </c>
      <c r="C84" s="186"/>
      <c r="D84" s="191"/>
      <c r="E84" s="24">
        <f>IF(C84="Yes",1,0)</f>
        <v>0</v>
      </c>
      <c r="F84" s="438"/>
      <c r="G84" s="439"/>
      <c r="H84" s="439"/>
      <c r="I84" s="440"/>
    </row>
    <row r="85" spans="1:9" ht="50.1" customHeight="1" x14ac:dyDescent="0.25">
      <c r="B85" s="65" t="s">
        <v>59</v>
      </c>
      <c r="C85" s="190"/>
      <c r="D85" s="369" t="s">
        <v>340</v>
      </c>
      <c r="F85" s="438"/>
      <c r="G85" s="439"/>
      <c r="H85" s="439"/>
      <c r="I85" s="440"/>
    </row>
    <row r="86" spans="1:9" ht="20.100000000000001" customHeight="1" x14ac:dyDescent="0.25">
      <c r="A86" s="206" t="s">
        <v>512</v>
      </c>
      <c r="B86" s="66" t="s">
        <v>843</v>
      </c>
      <c r="C86" s="244">
        <f>PROSPERITY!C90</f>
        <v>0</v>
      </c>
      <c r="D86" s="191"/>
      <c r="E86" s="24">
        <f>PROSPERITY!E90</f>
        <v>0</v>
      </c>
      <c r="F86" s="438"/>
      <c r="G86" s="439"/>
      <c r="H86" s="439"/>
      <c r="I86" s="440"/>
    </row>
    <row r="87" spans="1:9" ht="20.100000000000001" customHeight="1" x14ac:dyDescent="0.25">
      <c r="A87" s="206" t="s">
        <v>513</v>
      </c>
      <c r="B87" s="66" t="s">
        <v>844</v>
      </c>
      <c r="C87" s="244">
        <f>PROSPERITY!C91</f>
        <v>0</v>
      </c>
      <c r="D87" s="191"/>
      <c r="E87" s="24" t="str">
        <f>PROSPERITY!E91</f>
        <v>N/A</v>
      </c>
      <c r="F87" s="438"/>
      <c r="G87" s="439"/>
      <c r="H87" s="439"/>
      <c r="I87" s="440"/>
    </row>
    <row r="88" spans="1:9" ht="65.099999999999994" customHeight="1" x14ac:dyDescent="0.25">
      <c r="B88" s="65" t="s">
        <v>23</v>
      </c>
      <c r="C88" s="190"/>
      <c r="D88" s="369" t="s">
        <v>340</v>
      </c>
      <c r="F88" s="438"/>
      <c r="G88" s="439"/>
      <c r="H88" s="439"/>
      <c r="I88" s="440"/>
    </row>
    <row r="89" spans="1:9" ht="20.100000000000001" customHeight="1" x14ac:dyDescent="0.25">
      <c r="A89" s="206" t="s">
        <v>514</v>
      </c>
      <c r="B89" s="66" t="s">
        <v>945</v>
      </c>
      <c r="C89" s="186"/>
      <c r="D89" s="191"/>
      <c r="E89" s="24">
        <f>IF(C89="Yes",0.6,0)</f>
        <v>0</v>
      </c>
      <c r="F89" s="438"/>
      <c r="G89" s="439"/>
      <c r="H89" s="439"/>
      <c r="I89" s="440"/>
    </row>
    <row r="90" spans="1:9" ht="35.1" customHeight="1" x14ac:dyDescent="0.25">
      <c r="A90" s="206" t="s">
        <v>515</v>
      </c>
      <c r="B90" s="66" t="s">
        <v>946</v>
      </c>
      <c r="C90" s="186"/>
      <c r="D90" s="191"/>
      <c r="E90" s="24">
        <f>IF(C90="Yes",0.1,0)</f>
        <v>0</v>
      </c>
      <c r="F90" s="438"/>
      <c r="G90" s="439"/>
      <c r="H90" s="439"/>
      <c r="I90" s="440"/>
    </row>
    <row r="91" spans="1:9" ht="35.1" customHeight="1" x14ac:dyDescent="0.25">
      <c r="A91" s="206" t="s">
        <v>516</v>
      </c>
      <c r="B91" s="66" t="s">
        <v>1384</v>
      </c>
      <c r="C91" s="186"/>
      <c r="D91" s="191"/>
      <c r="E91" s="24">
        <f>IF(C91="Yes",0.1,0)</f>
        <v>0</v>
      </c>
      <c r="F91" s="438"/>
      <c r="G91" s="439"/>
      <c r="H91" s="439"/>
      <c r="I91" s="440"/>
    </row>
    <row r="92" spans="1:9" ht="20.100000000000001" customHeight="1" x14ac:dyDescent="0.25">
      <c r="A92" s="206" t="s">
        <v>517</v>
      </c>
      <c r="B92" s="66" t="s">
        <v>947</v>
      </c>
      <c r="C92" s="186"/>
      <c r="D92" s="191"/>
      <c r="E92" s="24">
        <f>IF(C92="Yes",0.1,0)</f>
        <v>0</v>
      </c>
      <c r="F92" s="438"/>
      <c r="G92" s="439"/>
      <c r="H92" s="439"/>
      <c r="I92" s="440"/>
    </row>
    <row r="93" spans="1:9" ht="20.100000000000001" customHeight="1" x14ac:dyDescent="0.25">
      <c r="A93" s="206" t="s">
        <v>518</v>
      </c>
      <c r="B93" s="66" t="s">
        <v>948</v>
      </c>
      <c r="C93" s="186"/>
      <c r="D93" s="191"/>
      <c r="E93" s="24">
        <f>IF(C93="Yes",0.1,0)</f>
        <v>0</v>
      </c>
      <c r="F93" s="438"/>
      <c r="G93" s="439"/>
      <c r="H93" s="439"/>
      <c r="I93" s="440"/>
    </row>
    <row r="94" spans="1:9" ht="24.9" customHeight="1" x14ac:dyDescent="0.25">
      <c r="B94" s="65" t="s">
        <v>1417</v>
      </c>
      <c r="C94" s="190"/>
      <c r="D94" s="369" t="s">
        <v>340</v>
      </c>
      <c r="E94" s="269">
        <f>IF(C89="No",0,SUM(E89:E93))</f>
        <v>0</v>
      </c>
      <c r="F94" s="438"/>
      <c r="G94" s="439"/>
      <c r="H94" s="439"/>
      <c r="I94" s="440"/>
    </row>
    <row r="95" spans="1:9" ht="35.1" customHeight="1" x14ac:dyDescent="0.25">
      <c r="A95" s="206" t="s">
        <v>519</v>
      </c>
      <c r="B95" s="66" t="s">
        <v>949</v>
      </c>
      <c r="C95" s="186"/>
      <c r="D95" s="191"/>
      <c r="E95" s="24">
        <f>IF(C95="Yes",1,IF(C95="N/A","N/A",0))</f>
        <v>0</v>
      </c>
      <c r="F95" s="438"/>
      <c r="G95" s="439"/>
      <c r="H95" s="439"/>
      <c r="I95" s="440"/>
    </row>
    <row r="96" spans="1:9" ht="35.1" customHeight="1" x14ac:dyDescent="0.25">
      <c r="A96" s="206" t="s">
        <v>520</v>
      </c>
      <c r="B96" s="66" t="s">
        <v>950</v>
      </c>
      <c r="C96" s="186"/>
      <c r="D96" s="191"/>
      <c r="E96" s="24">
        <f>IF(C96="Yes",0,IF(C96="N/A","N/A",1))</f>
        <v>1</v>
      </c>
      <c r="F96" s="438"/>
      <c r="G96" s="439"/>
      <c r="H96" s="439"/>
      <c r="I96" s="440"/>
    </row>
    <row r="97" spans="1:9" ht="24.9" customHeight="1" x14ac:dyDescent="0.25">
      <c r="B97" s="65" t="s">
        <v>1418</v>
      </c>
      <c r="C97" s="190"/>
      <c r="D97" s="191"/>
      <c r="F97" s="438"/>
      <c r="G97" s="439"/>
      <c r="H97" s="439"/>
      <c r="I97" s="440"/>
    </row>
    <row r="98" spans="1:9" ht="35.1" customHeight="1" x14ac:dyDescent="0.25">
      <c r="A98" s="206" t="s">
        <v>521</v>
      </c>
      <c r="B98" s="66" t="s">
        <v>951</v>
      </c>
      <c r="C98" s="186"/>
      <c r="D98" s="191"/>
      <c r="E98" s="24">
        <f>IF(C98="Yes",1,IF(C98="N/A","N/A",0))</f>
        <v>0</v>
      </c>
      <c r="F98" s="438"/>
      <c r="G98" s="439"/>
      <c r="H98" s="439"/>
      <c r="I98" s="440"/>
    </row>
    <row r="99" spans="1:9" ht="20.100000000000001" customHeight="1" x14ac:dyDescent="0.25">
      <c r="A99" s="206" t="s">
        <v>787</v>
      </c>
      <c r="B99" s="66" t="s">
        <v>1355</v>
      </c>
      <c r="C99" s="186"/>
      <c r="D99" s="191"/>
      <c r="E99" s="24">
        <f>IF(C99="Yes",0,IF(C99="N/A","N/A",1))</f>
        <v>1</v>
      </c>
      <c r="F99" s="438"/>
      <c r="G99" s="439"/>
      <c r="H99" s="439"/>
      <c r="I99" s="440"/>
    </row>
    <row r="100" spans="1:9" ht="20.100000000000001" customHeight="1" x14ac:dyDescent="0.25">
      <c r="A100" s="206" t="s">
        <v>788</v>
      </c>
      <c r="B100" s="66" t="s">
        <v>952</v>
      </c>
      <c r="C100" s="186"/>
      <c r="D100" s="191"/>
      <c r="E100" s="24">
        <f>IF(C100="Yes",1,IF(C100="N/A","N/A",0))</f>
        <v>0</v>
      </c>
      <c r="F100" s="438"/>
      <c r="G100" s="439"/>
      <c r="H100" s="439"/>
      <c r="I100" s="440"/>
    </row>
    <row r="101" spans="1:9" ht="15" customHeight="1" thickBot="1" x14ac:dyDescent="0.3">
      <c r="B101" s="135" t="s">
        <v>94</v>
      </c>
      <c r="C101" s="67" t="str">
        <f>IF(PROFILE!C22=0,"N/A",AVERAGE(E66,E67,E74,E82:E87,E94:E100))</f>
        <v>N/A</v>
      </c>
      <c r="D101" s="68" t="s">
        <v>47</v>
      </c>
      <c r="F101" s="438"/>
      <c r="G101" s="439"/>
      <c r="H101" s="439"/>
      <c r="I101" s="440"/>
    </row>
    <row r="102" spans="1:9" ht="20.100000000000001" customHeight="1" thickBot="1" x14ac:dyDescent="0.3">
      <c r="C102" s="181"/>
      <c r="D102" s="181"/>
      <c r="F102" s="438"/>
      <c r="G102" s="439"/>
      <c r="H102" s="439"/>
      <c r="I102" s="440"/>
    </row>
    <row r="103" spans="1:9" ht="50.1" customHeight="1" thickBot="1" x14ac:dyDescent="0.3">
      <c r="B103" s="441" t="s">
        <v>1215</v>
      </c>
      <c r="C103" s="442"/>
      <c r="D103" s="443"/>
      <c r="F103" s="438"/>
      <c r="G103" s="439"/>
      <c r="H103" s="439"/>
      <c r="I103" s="440"/>
    </row>
    <row r="104" spans="1:9" ht="15" customHeight="1" x14ac:dyDescent="0.25">
      <c r="B104" s="74"/>
      <c r="C104" s="77" t="s">
        <v>0</v>
      </c>
      <c r="D104" s="80" t="s">
        <v>1</v>
      </c>
      <c r="F104" s="438"/>
      <c r="G104" s="439"/>
      <c r="H104" s="439"/>
      <c r="I104" s="440"/>
    </row>
    <row r="105" spans="1:9" ht="30.75" customHeight="1" x14ac:dyDescent="0.25">
      <c r="B105" s="69"/>
      <c r="C105" s="71"/>
      <c r="D105" s="369" t="s">
        <v>340</v>
      </c>
      <c r="F105" s="438"/>
      <c r="G105" s="439"/>
      <c r="H105" s="439"/>
      <c r="I105" s="440"/>
    </row>
    <row r="106" spans="1:9" ht="51" customHeight="1" x14ac:dyDescent="0.25">
      <c r="B106" s="308" t="s">
        <v>1225</v>
      </c>
      <c r="C106" s="186"/>
      <c r="D106" s="191"/>
      <c r="E106" s="24">
        <f>IF(C106="YES",1,0)</f>
        <v>0</v>
      </c>
      <c r="F106" s="438"/>
      <c r="G106" s="439"/>
      <c r="H106" s="439"/>
      <c r="I106" s="440"/>
    </row>
    <row r="107" spans="1:9" ht="50.1" customHeight="1" x14ac:dyDescent="0.25">
      <c r="A107" s="206" t="s">
        <v>522</v>
      </c>
      <c r="B107" s="65" t="s">
        <v>953</v>
      </c>
      <c r="C107" s="186"/>
      <c r="D107" s="191"/>
      <c r="E107" s="24">
        <f>IF(C107="Yes",1,IF(C107="N/A","N/A",0))</f>
        <v>0</v>
      </c>
      <c r="F107" s="438"/>
      <c r="G107" s="439"/>
      <c r="H107" s="439"/>
      <c r="I107" s="440"/>
    </row>
    <row r="108" spans="1:9" ht="50.1" customHeight="1" x14ac:dyDescent="0.25">
      <c r="A108" s="206" t="s">
        <v>523</v>
      </c>
      <c r="B108" s="65" t="s">
        <v>954</v>
      </c>
      <c r="C108" s="186"/>
      <c r="D108" s="191"/>
      <c r="E108" s="24">
        <f>IF(C108="Yes",1,IF(C108="N/A","N/A",0))</f>
        <v>0</v>
      </c>
      <c r="F108" s="438"/>
      <c r="G108" s="439"/>
      <c r="H108" s="439"/>
      <c r="I108" s="440"/>
    </row>
    <row r="109" spans="1:9" ht="50.1" customHeight="1" x14ac:dyDescent="0.25">
      <c r="A109" s="206" t="s">
        <v>524</v>
      </c>
      <c r="B109" s="65" t="s">
        <v>955</v>
      </c>
      <c r="C109" s="186"/>
      <c r="D109" s="191"/>
      <c r="E109" s="24">
        <f>IF(C109="Yes",1,IF(C109="N/A","N/A",0))</f>
        <v>0</v>
      </c>
      <c r="F109" s="438"/>
      <c r="G109" s="439"/>
      <c r="H109" s="439"/>
      <c r="I109" s="440"/>
    </row>
    <row r="110" spans="1:9" ht="20.100000000000001" customHeight="1" thickBot="1" x14ac:dyDescent="0.3">
      <c r="B110" s="135" t="s">
        <v>95</v>
      </c>
      <c r="C110" s="67">
        <f>IFERROR(AVERAGE(E106:E109)," N/A")</f>
        <v>0</v>
      </c>
      <c r="D110" s="68" t="s">
        <v>47</v>
      </c>
      <c r="F110" s="438"/>
      <c r="G110" s="439"/>
      <c r="H110" s="439"/>
      <c r="I110" s="440"/>
    </row>
    <row r="111" spans="1:9" ht="20.100000000000001" customHeight="1" thickBot="1" x14ac:dyDescent="0.3">
      <c r="C111" s="181">
        <f>(COUNTIF(C108:C109,"Below 50%")*20)+(COUNTIF(C108:C109,"Above 50%")*70)+(COUNTIF(C108:C109,"100%")*100)</f>
        <v>0</v>
      </c>
      <c r="D111" s="181">
        <f>(COUNTIF(D108:D109,"Below 50%")*20)+(COUNTIF(D108:D109,"Above 50%")*70)+(COUNTIF(D108:D109,"100%")*100)</f>
        <v>0</v>
      </c>
      <c r="F111" s="438"/>
      <c r="G111" s="439"/>
      <c r="H111" s="439"/>
      <c r="I111" s="440"/>
    </row>
    <row r="112" spans="1:9" ht="50.1" customHeight="1" thickBot="1" x14ac:dyDescent="0.3">
      <c r="B112" s="441" t="s">
        <v>346</v>
      </c>
      <c r="C112" s="442"/>
      <c r="D112" s="443"/>
      <c r="F112" s="438"/>
      <c r="G112" s="439"/>
      <c r="H112" s="439"/>
      <c r="I112" s="440"/>
    </row>
    <row r="113" spans="1:9" ht="20.100000000000001" customHeight="1" x14ac:dyDescent="0.25">
      <c r="B113" s="201"/>
      <c r="C113" s="71" t="s">
        <v>0</v>
      </c>
      <c r="D113" s="72" t="s">
        <v>1</v>
      </c>
      <c r="F113" s="438"/>
      <c r="G113" s="439"/>
      <c r="H113" s="439"/>
      <c r="I113" s="440"/>
    </row>
    <row r="114" spans="1:9" ht="24.9" customHeight="1" x14ac:dyDescent="0.25">
      <c r="B114" s="202"/>
      <c r="C114" s="190"/>
      <c r="D114" s="369" t="s">
        <v>340</v>
      </c>
      <c r="F114" s="438"/>
      <c r="G114" s="439"/>
      <c r="H114" s="439"/>
      <c r="I114" s="440"/>
    </row>
    <row r="115" spans="1:9" ht="24.9" customHeight="1" x14ac:dyDescent="0.25">
      <c r="B115" s="202" t="s">
        <v>381</v>
      </c>
      <c r="C115" s="190"/>
      <c r="D115" s="190"/>
      <c r="F115" s="438"/>
      <c r="G115" s="439"/>
      <c r="H115" s="439"/>
      <c r="I115" s="440"/>
    </row>
    <row r="116" spans="1:9" ht="20.100000000000001" customHeight="1" x14ac:dyDescent="0.25">
      <c r="A116" s="206" t="s">
        <v>525</v>
      </c>
      <c r="B116" s="66" t="s">
        <v>956</v>
      </c>
      <c r="C116" s="190"/>
      <c r="D116" s="187"/>
      <c r="E116" s="24">
        <f>IF(D116="Yes",1,(IF(D116="N/A","N/A",0)))</f>
        <v>0</v>
      </c>
      <c r="F116" s="438"/>
      <c r="G116" s="439"/>
      <c r="H116" s="439"/>
      <c r="I116" s="440"/>
    </row>
    <row r="117" spans="1:9" ht="33.75" customHeight="1" x14ac:dyDescent="0.25">
      <c r="A117" s="206" t="s">
        <v>526</v>
      </c>
      <c r="B117" s="66" t="s">
        <v>1197</v>
      </c>
      <c r="C117" s="190"/>
      <c r="D117" s="187"/>
      <c r="E117" s="24">
        <f>IF(D117="Yes",1,0)</f>
        <v>0</v>
      </c>
      <c r="F117" s="438"/>
      <c r="G117" s="439"/>
      <c r="H117" s="439"/>
      <c r="I117" s="440"/>
    </row>
    <row r="118" spans="1:9" ht="24.9" customHeight="1" x14ac:dyDescent="0.25">
      <c r="B118" s="65" t="s">
        <v>321</v>
      </c>
      <c r="C118" s="190"/>
      <c r="D118" s="191"/>
      <c r="F118" s="438"/>
      <c r="G118" s="439"/>
      <c r="H118" s="439"/>
      <c r="I118" s="440"/>
    </row>
    <row r="119" spans="1:9" ht="20.100000000000001" customHeight="1" x14ac:dyDescent="0.25">
      <c r="A119" s="206" t="s">
        <v>527</v>
      </c>
      <c r="B119" s="66" t="s">
        <v>957</v>
      </c>
      <c r="C119" s="190"/>
      <c r="D119" s="187"/>
      <c r="E119" s="24">
        <f>IF(D119="Yes",1,0)</f>
        <v>0</v>
      </c>
      <c r="F119" s="438"/>
      <c r="G119" s="439"/>
      <c r="H119" s="439"/>
      <c r="I119" s="440"/>
    </row>
    <row r="120" spans="1:9" ht="20.100000000000001" customHeight="1" thickBot="1" x14ac:dyDescent="0.3">
      <c r="B120" s="135" t="s">
        <v>96</v>
      </c>
      <c r="C120" s="67" t="s">
        <v>47</v>
      </c>
      <c r="D120" s="68">
        <f>AVERAGE(E116:E119)</f>
        <v>0</v>
      </c>
      <c r="F120" s="438"/>
      <c r="G120" s="439"/>
      <c r="H120" s="439"/>
      <c r="I120" s="440"/>
    </row>
    <row r="121" spans="1:9" ht="20.100000000000001" customHeight="1" thickBot="1" x14ac:dyDescent="0.3">
      <c r="C121" s="181">
        <f>(COUNTIF(C116:C119,"Below 50%")*20)+(COUNTIF(C116:C119,"Above 50%")*70)+(COUNTIF(C116:C119,"100%")*100)</f>
        <v>0</v>
      </c>
      <c r="D121" s="181">
        <f>(COUNTIF(D116:D119,"Below 50%")*20)+(COUNTIF(D116:D119,"Above 50%")*70)+(COUNTIF(D116:D119,"100%")*100)</f>
        <v>0</v>
      </c>
      <c r="F121" s="438"/>
      <c r="G121" s="439"/>
      <c r="H121" s="439"/>
      <c r="I121" s="440"/>
    </row>
    <row r="122" spans="1:9" ht="50.1" customHeight="1" thickBot="1" x14ac:dyDescent="0.3">
      <c r="B122" s="441" t="s">
        <v>347</v>
      </c>
      <c r="C122" s="442"/>
      <c r="D122" s="443"/>
      <c r="F122" s="438"/>
      <c r="G122" s="439"/>
      <c r="H122" s="439"/>
      <c r="I122" s="440"/>
    </row>
    <row r="123" spans="1:9" ht="15" customHeight="1" x14ac:dyDescent="0.25">
      <c r="B123" s="69"/>
      <c r="C123" s="70" t="s">
        <v>0</v>
      </c>
      <c r="D123" s="72" t="s">
        <v>1</v>
      </c>
      <c r="F123" s="438"/>
      <c r="G123" s="439"/>
      <c r="H123" s="439"/>
      <c r="I123" s="440"/>
    </row>
    <row r="124" spans="1:9" ht="24.9" customHeight="1" x14ac:dyDescent="0.25">
      <c r="B124" s="65" t="s">
        <v>5</v>
      </c>
      <c r="C124" s="190"/>
      <c r="D124" s="369" t="s">
        <v>340</v>
      </c>
      <c r="F124" s="438"/>
      <c r="G124" s="439"/>
      <c r="H124" s="439"/>
      <c r="I124" s="440"/>
    </row>
    <row r="125" spans="1:9" ht="20.100000000000001" customHeight="1" x14ac:dyDescent="0.25">
      <c r="A125" s="206" t="s">
        <v>528</v>
      </c>
      <c r="B125" s="66" t="s">
        <v>958</v>
      </c>
      <c r="C125" s="244">
        <f>PROSPERITY!C92</f>
        <v>0</v>
      </c>
      <c r="D125" s="190"/>
      <c r="F125" s="438"/>
      <c r="G125" s="439"/>
      <c r="H125" s="439"/>
      <c r="I125" s="440"/>
    </row>
    <row r="126" spans="1:9" ht="34.5" customHeight="1" x14ac:dyDescent="0.25">
      <c r="A126" s="206" t="s">
        <v>529</v>
      </c>
      <c r="B126" s="66" t="s">
        <v>959</v>
      </c>
      <c r="C126" s="244">
        <f>PROSPERITY!C93</f>
        <v>0</v>
      </c>
      <c r="D126" s="190"/>
      <c r="E126" s="24" t="str">
        <f>PROSPERITY!E93</f>
        <v>N/A</v>
      </c>
      <c r="F126" s="438"/>
      <c r="G126" s="439"/>
      <c r="H126" s="439"/>
      <c r="I126" s="440"/>
    </row>
    <row r="127" spans="1:9" ht="35.1" customHeight="1" x14ac:dyDescent="0.25">
      <c r="A127" s="206" t="s">
        <v>530</v>
      </c>
      <c r="B127" s="66" t="s">
        <v>960</v>
      </c>
      <c r="C127" s="190"/>
      <c r="D127" s="187"/>
      <c r="E127" s="24">
        <f>IF(D127="Yes",1,IF(D127="N/A","N/A",0))</f>
        <v>0</v>
      </c>
      <c r="F127" s="438"/>
      <c r="G127" s="439"/>
      <c r="H127" s="439"/>
      <c r="I127" s="440"/>
    </row>
    <row r="128" spans="1:9" ht="20.100000000000001" customHeight="1" x14ac:dyDescent="0.25">
      <c r="A128" s="206" t="s">
        <v>531</v>
      </c>
      <c r="B128" s="66" t="s">
        <v>961</v>
      </c>
      <c r="C128" s="190"/>
      <c r="D128" s="187"/>
      <c r="E128" s="24">
        <f>IF(D128="Yes",1,IF(D128="N/A","N/A",0))</f>
        <v>0</v>
      </c>
      <c r="F128" s="438"/>
      <c r="G128" s="439"/>
      <c r="H128" s="439"/>
      <c r="I128" s="440"/>
    </row>
    <row r="129" spans="1:9" ht="15" customHeight="1" thickBot="1" x14ac:dyDescent="0.3">
      <c r="B129" s="135" t="s">
        <v>97</v>
      </c>
      <c r="C129" s="67" t="str">
        <f>IF(PROFILE!C22=0,"N/A",E126)</f>
        <v>N/A</v>
      </c>
      <c r="D129" s="68" t="str">
        <f>IF(PROFILE!C22=0,"N/A",IFERROR(AVERAGE(E127:E128),"N/A"))</f>
        <v>N/A</v>
      </c>
      <c r="F129" s="438"/>
      <c r="G129" s="439"/>
      <c r="H129" s="439"/>
      <c r="I129" s="440"/>
    </row>
    <row r="130" spans="1:9" ht="20.100000000000001" customHeight="1" thickBot="1" x14ac:dyDescent="0.3">
      <c r="C130" s="181"/>
      <c r="D130" s="181"/>
      <c r="F130" s="438"/>
      <c r="G130" s="439"/>
      <c r="H130" s="439"/>
      <c r="I130" s="440"/>
    </row>
    <row r="131" spans="1:9" ht="50.1" customHeight="1" thickBot="1" x14ac:dyDescent="0.3">
      <c r="B131" s="441" t="s">
        <v>348</v>
      </c>
      <c r="C131" s="442"/>
      <c r="D131" s="443"/>
      <c r="F131" s="438"/>
      <c r="G131" s="439"/>
      <c r="H131" s="439"/>
      <c r="I131" s="440"/>
    </row>
    <row r="132" spans="1:9" ht="20.100000000000001" customHeight="1" x14ac:dyDescent="0.25">
      <c r="B132" s="203"/>
      <c r="C132" s="78" t="s">
        <v>0</v>
      </c>
      <c r="D132" s="79" t="s">
        <v>1</v>
      </c>
      <c r="F132" s="438"/>
      <c r="G132" s="439"/>
      <c r="H132" s="439"/>
      <c r="I132" s="440"/>
    </row>
    <row r="133" spans="1:9" ht="20.100000000000001" customHeight="1" x14ac:dyDescent="0.25">
      <c r="B133" s="69"/>
      <c r="C133" s="190"/>
      <c r="D133" s="369" t="s">
        <v>340</v>
      </c>
      <c r="F133" s="438"/>
      <c r="G133" s="439"/>
      <c r="H133" s="439"/>
      <c r="I133" s="440"/>
    </row>
    <row r="134" spans="1:9" ht="20.100000000000001" customHeight="1" x14ac:dyDescent="0.25">
      <c r="A134" s="206" t="s">
        <v>532</v>
      </c>
      <c r="B134" s="66" t="s">
        <v>962</v>
      </c>
      <c r="C134" s="190"/>
      <c r="D134" s="187"/>
      <c r="E134" s="24" t="str">
        <f>IF(D134="Yes",1,"")</f>
        <v/>
      </c>
      <c r="F134" s="438"/>
      <c r="G134" s="439"/>
      <c r="H134" s="439"/>
      <c r="I134" s="440"/>
    </row>
    <row r="135" spans="1:9" ht="20.100000000000001" customHeight="1" x14ac:dyDescent="0.25">
      <c r="A135" s="206" t="s">
        <v>533</v>
      </c>
      <c r="B135" s="66" t="s">
        <v>963</v>
      </c>
      <c r="C135" s="186"/>
      <c r="D135" s="191"/>
      <c r="E135" s="24">
        <f>IF(C135="Yes",1,0)</f>
        <v>0</v>
      </c>
      <c r="F135" s="438"/>
      <c r="G135" s="439"/>
      <c r="H135" s="439"/>
      <c r="I135" s="440"/>
    </row>
    <row r="136" spans="1:9" ht="20.100000000000001" customHeight="1" x14ac:dyDescent="0.25">
      <c r="A136" s="206" t="s">
        <v>534</v>
      </c>
      <c r="B136" s="66" t="s">
        <v>964</v>
      </c>
      <c r="C136" s="186"/>
      <c r="D136" s="191"/>
      <c r="E136" s="24">
        <f>IF(C136="Yes",1,IF(C136="N/A","N/A",0))</f>
        <v>0</v>
      </c>
      <c r="F136" s="438"/>
      <c r="G136" s="439"/>
      <c r="H136" s="439"/>
      <c r="I136" s="440"/>
    </row>
    <row r="137" spans="1:9" ht="35.1" customHeight="1" x14ac:dyDescent="0.25">
      <c r="A137" s="206" t="s">
        <v>535</v>
      </c>
      <c r="B137" s="75" t="s">
        <v>965</v>
      </c>
      <c r="C137" s="186"/>
      <c r="D137" s="191"/>
      <c r="E137" s="24">
        <f>IF(C137="Yes",1,IF(C137="N/A","N/A",0))</f>
        <v>0</v>
      </c>
      <c r="F137" s="438"/>
      <c r="G137" s="439"/>
      <c r="H137" s="439"/>
      <c r="I137" s="440"/>
    </row>
    <row r="138" spans="1:9" ht="20.100000000000001" customHeight="1" x14ac:dyDescent="0.25">
      <c r="A138" s="206" t="s">
        <v>536</v>
      </c>
      <c r="B138" s="75" t="s">
        <v>966</v>
      </c>
      <c r="C138" s="186"/>
      <c r="D138" s="191"/>
      <c r="E138" s="24">
        <f>IF(C138="Yes",1,0)</f>
        <v>0</v>
      </c>
      <c r="F138" s="438"/>
      <c r="G138" s="439"/>
      <c r="H138" s="439"/>
      <c r="I138" s="440"/>
    </row>
    <row r="139" spans="1:9" ht="20.100000000000001" customHeight="1" x14ac:dyDescent="0.25">
      <c r="A139" s="206" t="s">
        <v>537</v>
      </c>
      <c r="B139" s="75" t="s">
        <v>967</v>
      </c>
      <c r="C139" s="186"/>
      <c r="D139" s="191"/>
      <c r="E139" s="24">
        <f>IF(C139="Yes",1,0)</f>
        <v>0</v>
      </c>
      <c r="F139" s="438"/>
      <c r="G139" s="439"/>
      <c r="H139" s="439"/>
      <c r="I139" s="440"/>
    </row>
    <row r="140" spans="1:9" ht="20.100000000000001" customHeight="1" x14ac:dyDescent="0.25">
      <c r="A140" s="206" t="s">
        <v>538</v>
      </c>
      <c r="B140" s="75" t="s">
        <v>968</v>
      </c>
      <c r="C140" s="190"/>
      <c r="D140" s="187"/>
      <c r="E140" s="24">
        <f>IF(D140="Yes",1,IF(D140="N/A","N/A",0))</f>
        <v>0</v>
      </c>
      <c r="F140" s="438"/>
      <c r="G140" s="439"/>
      <c r="H140" s="439"/>
      <c r="I140" s="440"/>
    </row>
    <row r="141" spans="1:9" ht="20.100000000000001" customHeight="1" thickBot="1" x14ac:dyDescent="0.3">
      <c r="B141" s="135" t="s">
        <v>98</v>
      </c>
      <c r="C141" s="67" t="str">
        <f>IF(D134="Yes",AVERAGE(E135:E139),"N/A")</f>
        <v>N/A</v>
      </c>
      <c r="D141" s="68">
        <f>IF(D134="No","N/A",AVERAGE(E134,E140))</f>
        <v>0</v>
      </c>
      <c r="F141" s="438"/>
      <c r="G141" s="439"/>
      <c r="H141" s="439"/>
      <c r="I141" s="440"/>
    </row>
    <row r="142" spans="1:9" ht="20.100000000000001" customHeight="1" thickBot="1" x14ac:dyDescent="0.3">
      <c r="C142" s="181"/>
      <c r="D142" s="181"/>
      <c r="F142" s="438"/>
      <c r="G142" s="439"/>
      <c r="H142" s="439"/>
      <c r="I142" s="440"/>
    </row>
    <row r="143" spans="1:9" ht="50.1" customHeight="1" thickBot="1" x14ac:dyDescent="0.3">
      <c r="B143" s="441" t="s">
        <v>349</v>
      </c>
      <c r="C143" s="442"/>
      <c r="D143" s="443"/>
      <c r="F143" s="438"/>
      <c r="G143" s="439"/>
      <c r="H143" s="439"/>
      <c r="I143" s="440"/>
    </row>
    <row r="144" spans="1:9" ht="20.100000000000001" customHeight="1" x14ac:dyDescent="0.25">
      <c r="B144" s="69"/>
      <c r="C144" s="71" t="s">
        <v>0</v>
      </c>
      <c r="D144" s="72" t="s">
        <v>1</v>
      </c>
      <c r="F144" s="438"/>
      <c r="G144" s="439"/>
      <c r="H144" s="439"/>
      <c r="I144" s="440"/>
    </row>
    <row r="145" spans="1:9" ht="20.100000000000001" customHeight="1" x14ac:dyDescent="0.25">
      <c r="B145" s="65" t="s">
        <v>56</v>
      </c>
      <c r="C145" s="190"/>
      <c r="D145" s="369" t="s">
        <v>340</v>
      </c>
      <c r="F145" s="438"/>
      <c r="G145" s="439"/>
      <c r="H145" s="439"/>
      <c r="I145" s="440"/>
    </row>
    <row r="146" spans="1:9" ht="35.1" customHeight="1" x14ac:dyDescent="0.25">
      <c r="A146" s="206" t="s">
        <v>539</v>
      </c>
      <c r="B146" s="66" t="s">
        <v>969</v>
      </c>
      <c r="C146" s="186"/>
      <c r="D146" s="191"/>
      <c r="E146" s="24" t="str">
        <f>IF(C146="Yes",1,IF(C146="No",,""))</f>
        <v/>
      </c>
      <c r="F146" s="438"/>
      <c r="G146" s="439"/>
      <c r="H146" s="439"/>
      <c r="I146" s="440"/>
    </row>
    <row r="147" spans="1:9" ht="20.100000000000001" customHeight="1" x14ac:dyDescent="0.25">
      <c r="A147" s="206" t="s">
        <v>540</v>
      </c>
      <c r="B147" s="66" t="s">
        <v>970</v>
      </c>
      <c r="C147" s="190"/>
      <c r="D147" s="189" t="str">
        <f>IF(PROSPERITY!D23="","",PROSPERITY!D23)</f>
        <v/>
      </c>
      <c r="E147" s="24" t="str">
        <f>IF(D147="Yes",1,IF(D147="No",0,"N/A"))</f>
        <v>N/A</v>
      </c>
      <c r="F147" s="438"/>
      <c r="G147" s="439"/>
      <c r="H147" s="439"/>
      <c r="I147" s="440"/>
    </row>
    <row r="148" spans="1:9" ht="20.100000000000001" customHeight="1" thickBot="1" x14ac:dyDescent="0.3">
      <c r="B148" s="135" t="s">
        <v>99</v>
      </c>
      <c r="C148" s="67" t="str">
        <f>IF(PROFILE!C24="No","N/A",E146)</f>
        <v/>
      </c>
      <c r="D148" s="68" t="str">
        <f>IF(PROFILE!C24="No","N/A",E147)</f>
        <v>N/A</v>
      </c>
      <c r="F148" s="438"/>
      <c r="G148" s="439"/>
      <c r="H148" s="439"/>
      <c r="I148" s="440"/>
    </row>
    <row r="149" spans="1:9" ht="20.100000000000001" customHeight="1" thickBot="1" x14ac:dyDescent="0.3">
      <c r="C149" s="181"/>
      <c r="D149" s="181"/>
      <c r="F149" s="438"/>
      <c r="G149" s="439"/>
      <c r="H149" s="439"/>
      <c r="I149" s="440"/>
    </row>
    <row r="150" spans="1:9" ht="20.100000000000001" customHeight="1" thickBot="1" x14ac:dyDescent="0.3">
      <c r="B150" s="136" t="s">
        <v>37</v>
      </c>
      <c r="C150" s="76">
        <f>IFERROR(AVERAGE(C148,C141,C129,C120,C110,C101,C61),"N/A")</f>
        <v>0</v>
      </c>
      <c r="D150" s="76">
        <f>IFERROR(AVERAGE(D148,D141,D129,D120,D110,D101,D61),"N/A")</f>
        <v>0</v>
      </c>
      <c r="F150" s="450"/>
      <c r="G150" s="451"/>
      <c r="H150" s="451"/>
      <c r="I150" s="452"/>
    </row>
    <row r="152" spans="1:9" x14ac:dyDescent="0.25">
      <c r="B152" s="9"/>
    </row>
  </sheetData>
  <sheetProtection algorithmName="SHA-512" hashValue="20QwWw+SvO7hPeJ30T7S4m0peFGscuFqtY3JE9IrbQnHz93kVpZc5DZd3+PKOlARZ6FNpN2JQVFT8uuCIIZg2g==" saltValue="lz2GsS9sqQRABIGPGws3Vw==" spinCount="100000" sheet="1" objects="1" scenarios="1" selectLockedCells="1"/>
  <mergeCells count="156">
    <mergeCell ref="F107:I107"/>
    <mergeCell ref="F127:I127"/>
    <mergeCell ref="F128:I128"/>
    <mergeCell ref="F129:I129"/>
    <mergeCell ref="F136:I136"/>
    <mergeCell ref="F137:I137"/>
    <mergeCell ref="F138:I138"/>
    <mergeCell ref="F139:I139"/>
    <mergeCell ref="F140:I140"/>
    <mergeCell ref="F131:I131"/>
    <mergeCell ref="F132:I132"/>
    <mergeCell ref="F135:I135"/>
    <mergeCell ref="F130:I130"/>
    <mergeCell ref="F115:I115"/>
    <mergeCell ref="F125:I125"/>
    <mergeCell ref="F126:I126"/>
    <mergeCell ref="F146:I146"/>
    <mergeCell ref="F147:I147"/>
    <mergeCell ref="F148:I148"/>
    <mergeCell ref="F149:I149"/>
    <mergeCell ref="F150:I150"/>
    <mergeCell ref="F134:I134"/>
    <mergeCell ref="F142:I142"/>
    <mergeCell ref="F143:I143"/>
    <mergeCell ref="F144:I144"/>
    <mergeCell ref="F145:I145"/>
    <mergeCell ref="F141:I141"/>
    <mergeCell ref="F3:I3"/>
    <mergeCell ref="F4:I4"/>
    <mergeCell ref="F5:I5"/>
    <mergeCell ref="F6:I6"/>
    <mergeCell ref="F7:I7"/>
    <mergeCell ref="F8:I8"/>
    <mergeCell ref="F10:I10"/>
    <mergeCell ref="F11:I11"/>
    <mergeCell ref="F12:I12"/>
    <mergeCell ref="F9:I9"/>
    <mergeCell ref="F13:I13"/>
    <mergeCell ref="F122:I122"/>
    <mergeCell ref="F123:I123"/>
    <mergeCell ref="F124:I124"/>
    <mergeCell ref="F119:I119"/>
    <mergeCell ref="F120:I120"/>
    <mergeCell ref="F121:I121"/>
    <mergeCell ref="F113:I113"/>
    <mergeCell ref="F114:I114"/>
    <mergeCell ref="F116:I116"/>
    <mergeCell ref="F117:I117"/>
    <mergeCell ref="F112:I112"/>
    <mergeCell ref="F109:I109"/>
    <mergeCell ref="F118:I118"/>
    <mergeCell ref="F110:I110"/>
    <mergeCell ref="F111:I111"/>
    <mergeCell ref="F103:I103"/>
    <mergeCell ref="F104:I104"/>
    <mergeCell ref="F106:I106"/>
    <mergeCell ref="F108:I108"/>
    <mergeCell ref="F98:I98"/>
    <mergeCell ref="F99:I99"/>
    <mergeCell ref="F100:I100"/>
    <mergeCell ref="F101:I101"/>
    <mergeCell ref="F102:I102"/>
    <mergeCell ref="F94:I94"/>
    <mergeCell ref="F95:I95"/>
    <mergeCell ref="F96:I96"/>
    <mergeCell ref="F97:I97"/>
    <mergeCell ref="F88:I88"/>
    <mergeCell ref="F89:I89"/>
    <mergeCell ref="F90:I90"/>
    <mergeCell ref="F91:I91"/>
    <mergeCell ref="F92:I92"/>
    <mergeCell ref="F83:I83"/>
    <mergeCell ref="F84:I84"/>
    <mergeCell ref="F85:I85"/>
    <mergeCell ref="F78:I78"/>
    <mergeCell ref="F79:I79"/>
    <mergeCell ref="F80:I80"/>
    <mergeCell ref="F81:I81"/>
    <mergeCell ref="F82:I82"/>
    <mergeCell ref="F93:I93"/>
    <mergeCell ref="F86:I86"/>
    <mergeCell ref="F87:I87"/>
    <mergeCell ref="F73:I73"/>
    <mergeCell ref="F74:I74"/>
    <mergeCell ref="F75:I75"/>
    <mergeCell ref="F76:I76"/>
    <mergeCell ref="F77:I77"/>
    <mergeCell ref="F67:I67"/>
    <mergeCell ref="F69:I69"/>
    <mergeCell ref="F70:I70"/>
    <mergeCell ref="F71:I71"/>
    <mergeCell ref="F72:I72"/>
    <mergeCell ref="F43:I43"/>
    <mergeCell ref="F44:I44"/>
    <mergeCell ref="F45:I45"/>
    <mergeCell ref="F46:I46"/>
    <mergeCell ref="F47:I47"/>
    <mergeCell ref="F61:I61"/>
    <mergeCell ref="F62:I62"/>
    <mergeCell ref="F63:I63"/>
    <mergeCell ref="F65:I65"/>
    <mergeCell ref="F53:I53"/>
    <mergeCell ref="F55:I55"/>
    <mergeCell ref="F56:I56"/>
    <mergeCell ref="F57:I57"/>
    <mergeCell ref="F58:I58"/>
    <mergeCell ref="F54:I54"/>
    <mergeCell ref="F64:I64"/>
    <mergeCell ref="B131:D131"/>
    <mergeCell ref="B143:D143"/>
    <mergeCell ref="B2:D2"/>
    <mergeCell ref="B3:D3"/>
    <mergeCell ref="B63:D63"/>
    <mergeCell ref="B103:D103"/>
    <mergeCell ref="B112:D112"/>
    <mergeCell ref="F17:I17"/>
    <mergeCell ref="F18:I18"/>
    <mergeCell ref="F19:I19"/>
    <mergeCell ref="F20:I20"/>
    <mergeCell ref="F21:I21"/>
    <mergeCell ref="F15:I15"/>
    <mergeCell ref="F16:I16"/>
    <mergeCell ref="B122:D122"/>
    <mergeCell ref="F27:I27"/>
    <mergeCell ref="F28:I28"/>
    <mergeCell ref="F29:I29"/>
    <mergeCell ref="F30:I30"/>
    <mergeCell ref="F31:I31"/>
    <mergeCell ref="F22:I22"/>
    <mergeCell ref="F23:I23"/>
    <mergeCell ref="F24:I24"/>
    <mergeCell ref="F25:I25"/>
    <mergeCell ref="F14:I14"/>
    <mergeCell ref="F37:I37"/>
    <mergeCell ref="F38:I38"/>
    <mergeCell ref="F59:I59"/>
    <mergeCell ref="F60:I60"/>
    <mergeCell ref="F66:I66"/>
    <mergeCell ref="F68:I68"/>
    <mergeCell ref="F105:I105"/>
    <mergeCell ref="F133:I133"/>
    <mergeCell ref="F26:I26"/>
    <mergeCell ref="F39:I39"/>
    <mergeCell ref="F40:I40"/>
    <mergeCell ref="F41:I41"/>
    <mergeCell ref="F42:I42"/>
    <mergeCell ref="F32:I32"/>
    <mergeCell ref="F33:I33"/>
    <mergeCell ref="F34:I34"/>
    <mergeCell ref="F35:I35"/>
    <mergeCell ref="F36:I36"/>
    <mergeCell ref="F48:I48"/>
    <mergeCell ref="F49:I49"/>
    <mergeCell ref="F50:I50"/>
    <mergeCell ref="F51:I51"/>
    <mergeCell ref="F52:I52"/>
  </mergeCells>
  <conditionalFormatting sqref="C46">
    <cfRule type="expression" dxfId="62" priority="29">
      <formula>$C$45="N/A"</formula>
    </cfRule>
  </conditionalFormatting>
  <conditionalFormatting sqref="C55:C56 D57:D58">
    <cfRule type="expression" dxfId="61" priority="13">
      <formula>$D$54&lt;&gt;"Yes"</formula>
    </cfRule>
  </conditionalFormatting>
  <conditionalFormatting sqref="C68:C69">
    <cfRule type="expression" dxfId="59" priority="17">
      <formula>$C$67="Yes"</formula>
    </cfRule>
  </conditionalFormatting>
  <conditionalFormatting sqref="C72:C81">
    <cfRule type="expression" dxfId="58" priority="27">
      <formula>$C$70="No"</formula>
    </cfRule>
  </conditionalFormatting>
  <conditionalFormatting sqref="C90:C93">
    <cfRule type="expression" dxfId="56" priority="26">
      <formula>$C$89="No"</formula>
    </cfRule>
  </conditionalFormatting>
  <conditionalFormatting sqref="C126">
    <cfRule type="expression" dxfId="54" priority="24">
      <formula>$C$125="No"</formula>
    </cfRule>
  </conditionalFormatting>
  <conditionalFormatting sqref="C135:C139">
    <cfRule type="expression" dxfId="53" priority="23">
      <formula>$D$134="No"</formula>
    </cfRule>
  </conditionalFormatting>
  <conditionalFormatting sqref="D30">
    <cfRule type="expression" dxfId="51" priority="8">
      <formula>$D$29="No"</formula>
    </cfRule>
  </conditionalFormatting>
  <conditionalFormatting sqref="D140">
    <cfRule type="expression" dxfId="50" priority="15">
      <formula>$D$134="No"</formula>
    </cfRule>
  </conditionalFormatting>
  <dataValidations count="9">
    <dataValidation type="list" allowBlank="1" showInputMessage="1" showErrorMessage="1" sqref="C145 C140" xr:uid="{00000000-0002-0000-0300-000000000000}">
      <formula1>"0%,Below 50%, Above 50%,100%"</formula1>
    </dataValidation>
    <dataValidation type="list" allowBlank="1" showInputMessage="1" showErrorMessage="1" sqref="D54 C48 D50:D52 D117 C135 D31 D29 C89:C93 C55:C56 D27 C106 C146 C25:C26 C138:C139 D134 D119 C72:C84 C6:C8 D57:D58 C60 C33 C66:C70" xr:uid="{00000000-0002-0000-0300-000001000000}">
      <formula1>"Yes,No"</formula1>
    </dataValidation>
    <dataValidation type="list" allowBlank="1" showInputMessage="1" showErrorMessage="1" sqref="C95:C96 C45:C46 D116 C136:C137 D140 C98:C100 D127:D128 C24 D28 C107:C109 C34:C43" xr:uid="{00000000-0002-0000-0300-000002000000}">
      <formula1>"N/A,Yes,No"</formula1>
    </dataValidation>
    <dataValidation type="list" allowBlank="1" showInputMessage="1" showErrorMessage="1" sqref="D49" xr:uid="{00000000-0002-0000-0300-000003000000}">
      <formula1>"0 %,10 %,20 %,30 %,40 %,50 %,60 %,70 %,80 %,90 %,100 %"</formula1>
    </dataValidation>
    <dataValidation type="list" allowBlank="1" showInputMessage="1" showErrorMessage="1" sqref="D30" xr:uid="{00000000-0002-0000-0300-000004000000}">
      <formula1>"0,1,2,3,4,5,6,7,8,9,10,&gt;10"</formula1>
    </dataValidation>
    <dataValidation type="list" allowBlank="1" showInputMessage="1" showErrorMessage="1" sqref="C21:C22 C14:C17" xr:uid="{00000000-0002-0000-0300-000005000000}">
      <formula1>OPT_3</formula1>
    </dataValidation>
    <dataValidation type="list" allowBlank="1" showInputMessage="1" showErrorMessage="1" sqref="C18:C20 C23 C13" xr:uid="{00000000-0002-0000-0300-000006000000}">
      <formula1>OPT_4</formula1>
    </dataValidation>
    <dataValidation type="list" allowBlank="1" showInputMessage="1" showErrorMessage="1" sqref="C9" xr:uid="{00000000-0002-0000-0300-000007000000}">
      <formula1>"Yes,No, N/A"</formula1>
    </dataValidation>
    <dataValidation type="list" allowBlank="1" showInputMessage="1" showErrorMessage="1" sqref="C11:C12" xr:uid="{00000000-0002-0000-0300-000008000000}">
      <formula1>OPT_1</formula1>
    </dataValidation>
  </dataValidations>
  <hyperlinks>
    <hyperlink ref="D5" r:id="rId1" xr:uid="{00000000-0004-0000-0300-000000000000}"/>
    <hyperlink ref="D10" r:id="rId2" xr:uid="{00000000-0004-0000-0300-000001000000}"/>
    <hyperlink ref="D32" r:id="rId3" xr:uid="{00000000-0004-0000-0300-000002000000}"/>
    <hyperlink ref="D65" r:id="rId4" xr:uid="{00000000-0004-0000-0300-000003000000}"/>
    <hyperlink ref="D85" r:id="rId5" xr:uid="{00000000-0004-0000-0300-000004000000}"/>
    <hyperlink ref="D94" r:id="rId6" xr:uid="{00000000-0004-0000-0300-000005000000}"/>
    <hyperlink ref="D105" r:id="rId7" xr:uid="{00000000-0004-0000-0300-000006000000}"/>
    <hyperlink ref="D114" r:id="rId8" xr:uid="{00000000-0004-0000-0300-000007000000}"/>
    <hyperlink ref="D124" r:id="rId9" xr:uid="{00000000-0004-0000-0300-000008000000}"/>
    <hyperlink ref="D133" r:id="rId10" xr:uid="{00000000-0004-0000-0300-000009000000}"/>
    <hyperlink ref="D145" r:id="rId11" xr:uid="{00000000-0004-0000-0300-00000A000000}"/>
    <hyperlink ref="D88" r:id="rId12" xr:uid="{00000000-0004-0000-0300-00000B000000}"/>
  </hyperlinks>
  <pageMargins left="0.25" right="0.25" top="0.75" bottom="0.75" header="0.3" footer="0.3"/>
  <pageSetup paperSize="9" scale="69" fitToHeight="0" orientation="landscape" r:id="rId13"/>
  <ignoredErrors>
    <ignoredError sqref="E83 E136 E25" formula="1"/>
  </ignoredErrors>
  <drawing r:id="rId14"/>
  <legacyDrawing r:id="rId15"/>
  <controls>
    <mc:AlternateContent xmlns:mc="http://schemas.openxmlformats.org/markup-compatibility/2006">
      <mc:Choice Requires="x14">
        <control shapeId="4102" r:id="rId16" name="CommandButton1">
          <controlPr defaultSize="0" autoLine="0" r:id="rId17">
            <anchor moveWithCells="1">
              <from>
                <xdr:col>5</xdr:col>
                <xdr:colOff>1143000</xdr:colOff>
                <xdr:row>1</xdr:row>
                <xdr:rowOff>45720</xdr:rowOff>
              </from>
              <to>
                <xdr:col>8</xdr:col>
                <xdr:colOff>396240</xdr:colOff>
                <xdr:row>1</xdr:row>
                <xdr:rowOff>472440</xdr:rowOff>
              </to>
            </anchor>
          </controlPr>
        </control>
      </mc:Choice>
      <mc:Fallback>
        <control shapeId="4102" r:id="rId16" name="Command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2" id="{1A5860C1-DD19-45DC-9A78-9F533113BBD7}">
            <xm:f>PROFILE!$C$22=0</xm:f>
            <x14:dxf>
              <fill>
                <patternFill>
                  <bgColor theme="1"/>
                </patternFill>
              </fill>
            </x14:dxf>
          </x14:cfRule>
          <xm:sqref>C6:C9 C11:C26 D27:D31 C33:C43 C45:C46 C48 D49:D52 D54 C55:C56 D57:D58</xm:sqref>
        </x14:conditionalFormatting>
        <x14:conditionalFormatting xmlns:xm="http://schemas.microsoft.com/office/excel/2006/main">
          <x14:cfRule type="expression" priority="9" id="{AC919AB8-9BDB-4D9B-959F-583219F44E74}">
            <xm:f>PROFILE!$C$22=0</xm:f>
            <x14:dxf>
              <fill>
                <patternFill>
                  <bgColor theme="1"/>
                </patternFill>
              </fill>
            </x14:dxf>
          </x14:cfRule>
          <xm:sqref>C66:C84</xm:sqref>
        </x14:conditionalFormatting>
        <x14:conditionalFormatting xmlns:xm="http://schemas.microsoft.com/office/excel/2006/main">
          <x14:cfRule type="expression" priority="11" id="{C7462D0B-059C-4380-B377-6F0F5BE052DF}">
            <xm:f>PROFILE!$C$22=0</xm:f>
            <x14:dxf>
              <fill>
                <patternFill>
                  <bgColor theme="1"/>
                </patternFill>
              </fill>
            </x14:dxf>
          </x14:cfRule>
          <xm:sqref>C86:C87 C89:C93 C95:C96 C98:C100</xm:sqref>
        </x14:conditionalFormatting>
        <x14:conditionalFormatting xmlns:xm="http://schemas.microsoft.com/office/excel/2006/main">
          <x14:cfRule type="expression" priority="10" id="{538A2333-7A06-4879-8A4B-FF0D94E24E24}">
            <xm:f>PROFILE!$C$22=0</xm:f>
            <x14:dxf>
              <fill>
                <patternFill>
                  <bgColor theme="1"/>
                </patternFill>
              </fill>
            </x14:dxf>
          </x14:cfRule>
          <xm:sqref>C125:C126 D127:D128</xm:sqref>
        </x14:conditionalFormatting>
        <x14:conditionalFormatting xmlns:xm="http://schemas.microsoft.com/office/excel/2006/main">
          <x14:cfRule type="expression" priority="14" id="{97A50476-B69D-49D8-BA12-2DA9C244BAC0}">
            <xm:f>PROFILE!$C$24="No"</xm:f>
            <x14:dxf>
              <fill>
                <patternFill>
                  <bgColor theme="1"/>
                </patternFill>
              </fill>
            </x14:dxf>
          </x14:cfRule>
          <xm:sqref>C146 D147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K433"/>
  <sheetViews>
    <sheetView showGridLines="0" topLeftCell="B1" zoomScale="85" zoomScaleNormal="85" workbookViewId="0">
      <selection activeCell="F4" sqref="F4"/>
    </sheetView>
  </sheetViews>
  <sheetFormatPr defaultColWidth="9.109375" defaultRowHeight="13.2" x14ac:dyDescent="0.25"/>
  <cols>
    <col min="1" max="1" width="8.6640625" style="206" hidden="1" customWidth="1"/>
    <col min="2" max="2" width="101.109375" style="1" customWidth="1"/>
    <col min="3" max="3" width="18.33203125" style="179" bestFit="1" customWidth="1"/>
    <col min="4" max="4" width="21.5546875" style="179" bestFit="1" customWidth="1"/>
    <col min="5" max="5" width="9.109375" style="26" hidden="1" customWidth="1"/>
    <col min="6" max="6" width="64.6640625" style="25" customWidth="1"/>
    <col min="7" max="7" width="1.5546875" bestFit="1" customWidth="1"/>
    <col min="8" max="8" width="9.109375" customWidth="1"/>
    <col min="9" max="9" width="10.109375" customWidth="1"/>
    <col min="10" max="10" width="9.109375" customWidth="1"/>
  </cols>
  <sheetData>
    <row r="1" spans="1:6" ht="30" customHeight="1" thickBot="1" x14ac:dyDescent="0.3">
      <c r="F1" s="213"/>
    </row>
    <row r="2" spans="1:6" ht="60" customHeight="1" thickBot="1" x14ac:dyDescent="0.3">
      <c r="B2" s="465" t="s">
        <v>38</v>
      </c>
      <c r="C2" s="466"/>
      <c r="D2" s="467"/>
      <c r="F2" s="346"/>
    </row>
    <row r="3" spans="1:6" ht="50.1" customHeight="1" thickBot="1" x14ac:dyDescent="0.3">
      <c r="B3" s="459" t="s">
        <v>1365</v>
      </c>
      <c r="C3" s="460"/>
      <c r="D3" s="461"/>
      <c r="F3" s="81" t="s">
        <v>107</v>
      </c>
    </row>
    <row r="4" spans="1:6" ht="20.100000000000001" customHeight="1" x14ac:dyDescent="0.25">
      <c r="B4" s="88"/>
      <c r="C4" s="89" t="s">
        <v>0</v>
      </c>
      <c r="D4" s="90" t="s">
        <v>1</v>
      </c>
      <c r="F4" s="319"/>
    </row>
    <row r="5" spans="1:6" ht="24.9" customHeight="1" x14ac:dyDescent="0.25">
      <c r="B5" s="85" t="s">
        <v>821</v>
      </c>
      <c r="C5" s="371" t="s">
        <v>340</v>
      </c>
      <c r="D5" s="196"/>
      <c r="F5" s="247"/>
    </row>
    <row r="6" spans="1:6" ht="50.1" customHeight="1" x14ac:dyDescent="0.25">
      <c r="A6" s="206" t="s">
        <v>541</v>
      </c>
      <c r="B6" s="86" t="s">
        <v>971</v>
      </c>
      <c r="C6" s="194"/>
      <c r="D6" s="196"/>
      <c r="E6" s="26">
        <f>IF(C6="No",1,0)</f>
        <v>0</v>
      </c>
      <c r="F6" s="247"/>
    </row>
    <row r="7" spans="1:6" ht="39" customHeight="1" x14ac:dyDescent="0.25">
      <c r="A7" s="206" t="s">
        <v>542</v>
      </c>
      <c r="B7" s="86" t="s">
        <v>972</v>
      </c>
      <c r="C7" s="194"/>
      <c r="D7" s="196"/>
      <c r="E7" s="26" t="str">
        <f>IF(C7="Yes",1,IF(C7="No",0,"N/A"))</f>
        <v>N/A</v>
      </c>
      <c r="F7" s="247"/>
    </row>
    <row r="8" spans="1:6" ht="41.25" customHeight="1" x14ac:dyDescent="0.25">
      <c r="A8" s="206" t="s">
        <v>543</v>
      </c>
      <c r="B8" s="86" t="s">
        <v>973</v>
      </c>
      <c r="C8" s="194"/>
      <c r="D8" s="196"/>
      <c r="E8" s="26" t="str">
        <f>IF(C8="Yes",1,IF(C8="No",0,"N/A"))</f>
        <v>N/A</v>
      </c>
      <c r="F8" s="247"/>
    </row>
    <row r="9" spans="1:6" ht="24.9" customHeight="1" x14ac:dyDescent="0.25">
      <c r="B9" s="85" t="s">
        <v>822</v>
      </c>
      <c r="C9" s="371" t="s">
        <v>340</v>
      </c>
      <c r="D9" s="196"/>
      <c r="F9" s="247"/>
    </row>
    <row r="10" spans="1:6" ht="20.100000000000001" customHeight="1" x14ac:dyDescent="0.25">
      <c r="A10" s="206" t="s">
        <v>560</v>
      </c>
      <c r="B10" s="97" t="s">
        <v>974</v>
      </c>
      <c r="C10" s="197"/>
      <c r="D10" s="195"/>
      <c r="E10" s="26" t="str">
        <f>IF(D10="Yes",1,IF(D10="No",0,"N/A"))</f>
        <v>N/A</v>
      </c>
      <c r="F10" s="247"/>
    </row>
    <row r="11" spans="1:6" ht="26.25" customHeight="1" x14ac:dyDescent="0.25">
      <c r="A11" s="206" t="s">
        <v>550</v>
      </c>
      <c r="B11" s="217" t="s">
        <v>1382</v>
      </c>
      <c r="C11" s="194"/>
      <c r="D11" s="196"/>
      <c r="E11" s="26" t="str">
        <f>IF(C11="Yes",0,IF(C11="No",1,"N/A"))</f>
        <v>N/A</v>
      </c>
      <c r="F11" s="247"/>
    </row>
    <row r="12" spans="1:6" ht="39.9" customHeight="1" x14ac:dyDescent="0.25">
      <c r="B12" s="217" t="s">
        <v>975</v>
      </c>
      <c r="C12" s="197"/>
      <c r="D12" s="195"/>
      <c r="E12" s="26" t="str">
        <f>IF(D12="Yes",1,IF(D12="No",0,"N/A"))</f>
        <v>N/A</v>
      </c>
      <c r="F12" s="247"/>
    </row>
    <row r="13" spans="1:6" ht="24.9" customHeight="1" x14ac:dyDescent="0.25">
      <c r="B13" s="218" t="s">
        <v>823</v>
      </c>
      <c r="C13" s="197"/>
      <c r="D13" s="371" t="s">
        <v>340</v>
      </c>
      <c r="F13" s="247"/>
    </row>
    <row r="14" spans="1:6" ht="20.100000000000001" customHeight="1" x14ac:dyDescent="0.25">
      <c r="A14" s="206" t="s">
        <v>552</v>
      </c>
      <c r="B14" s="217" t="s">
        <v>976</v>
      </c>
      <c r="C14" s="197"/>
      <c r="D14" s="195"/>
      <c r="E14" s="26">
        <f>IF(D14="Yes",1,0)</f>
        <v>0</v>
      </c>
      <c r="F14" s="247"/>
    </row>
    <row r="15" spans="1:6" ht="18.75" customHeight="1" x14ac:dyDescent="0.25">
      <c r="A15" s="206" t="s">
        <v>559</v>
      </c>
      <c r="B15" s="97" t="s">
        <v>977</v>
      </c>
      <c r="C15" s="197"/>
      <c r="D15" s="195"/>
      <c r="E15" s="26">
        <f>IF(D15="Yes",1,0)</f>
        <v>0</v>
      </c>
      <c r="F15" s="247"/>
    </row>
    <row r="16" spans="1:6" ht="20.100000000000001" customHeight="1" x14ac:dyDescent="0.25">
      <c r="A16" s="206" t="s">
        <v>554</v>
      </c>
      <c r="B16" s="217" t="s">
        <v>978</v>
      </c>
      <c r="C16" s="197"/>
      <c r="D16" s="195"/>
      <c r="E16" s="26">
        <f>IF(D16="Yes",1,0)</f>
        <v>0</v>
      </c>
      <c r="F16" s="247"/>
    </row>
    <row r="17" spans="1:6" ht="20.100000000000001" customHeight="1" x14ac:dyDescent="0.25">
      <c r="A17" s="206" t="s">
        <v>555</v>
      </c>
      <c r="B17" s="91" t="s">
        <v>979</v>
      </c>
      <c r="C17" s="197"/>
      <c r="D17" s="195"/>
      <c r="E17" s="26">
        <f>IF(D17="Yes",1,IF(D17="No",0,0.75))</f>
        <v>0.75</v>
      </c>
      <c r="F17" s="247"/>
    </row>
    <row r="18" spans="1:6" x14ac:dyDescent="0.25">
      <c r="B18" s="217" t="s">
        <v>980</v>
      </c>
      <c r="C18" s="197"/>
      <c r="D18" s="195"/>
      <c r="E18" s="26" t="str">
        <f>IF(D18="Yes",1,IF(D18="No",0,"N/A"))</f>
        <v>N/A</v>
      </c>
      <c r="F18" s="247"/>
    </row>
    <row r="19" spans="1:6" ht="20.100000000000001" customHeight="1" x14ac:dyDescent="0.25">
      <c r="A19" s="206" t="s">
        <v>553</v>
      </c>
      <c r="B19" s="217" t="s">
        <v>981</v>
      </c>
      <c r="C19" s="197"/>
      <c r="D19" s="195"/>
      <c r="E19" s="26">
        <f>IF(D19="Yes",1,0)</f>
        <v>0</v>
      </c>
      <c r="F19" s="247"/>
    </row>
    <row r="20" spans="1:6" ht="20.100000000000001" customHeight="1" x14ac:dyDescent="0.25">
      <c r="A20" s="206" t="s">
        <v>556</v>
      </c>
      <c r="B20" s="91" t="s">
        <v>982</v>
      </c>
      <c r="C20" s="197"/>
      <c r="D20" s="195"/>
      <c r="E20" s="26" t="str">
        <f>IF(D20="Yes",1,IF(D20="No",0,"N/A"))</f>
        <v>N/A</v>
      </c>
      <c r="F20" s="247"/>
    </row>
    <row r="21" spans="1:6" ht="20.100000000000001" customHeight="1" x14ac:dyDescent="0.25">
      <c r="A21" s="206" t="s">
        <v>557</v>
      </c>
      <c r="B21" s="91" t="s">
        <v>983</v>
      </c>
      <c r="C21" s="197"/>
      <c r="D21" s="195"/>
      <c r="E21" s="26" t="str">
        <f>IF(D21="Yes",1,IF(D21="No",0,"N/A"))</f>
        <v>N/A</v>
      </c>
      <c r="F21" s="247"/>
    </row>
    <row r="22" spans="1:6" ht="35.1" customHeight="1" x14ac:dyDescent="0.25">
      <c r="A22" s="206" t="s">
        <v>558</v>
      </c>
      <c r="B22" s="91" t="s">
        <v>984</v>
      </c>
      <c r="C22" s="197"/>
      <c r="D22" s="195"/>
      <c r="E22" s="26" t="str">
        <f>IF(D22="Yes",1,IF(D22="No",0,"N/A"))</f>
        <v>N/A</v>
      </c>
      <c r="F22" s="247"/>
    </row>
    <row r="23" spans="1:6" ht="35.1" customHeight="1" x14ac:dyDescent="0.25">
      <c r="A23" s="206" t="s">
        <v>551</v>
      </c>
      <c r="B23" s="91" t="s">
        <v>985</v>
      </c>
      <c r="C23" s="194"/>
      <c r="D23" s="196"/>
      <c r="E23" s="26" t="str">
        <f>IF(C23="Yes",1,IF(C23="No",0,"N/A"))</f>
        <v>N/A</v>
      </c>
      <c r="F23" s="247"/>
    </row>
    <row r="24" spans="1:6" ht="21" customHeight="1" thickBot="1" x14ac:dyDescent="0.3">
      <c r="B24" s="87"/>
      <c r="C24" s="92">
        <f>IF(PROFILE!C25="No","N/A",(AVERAGE(E6:E8,E11,E23)))</f>
        <v>0</v>
      </c>
      <c r="D24" s="93">
        <f>IF(PROFILE!C25="No","N/A",IFERROR(AVERAGE(E14:E22,E10,E12),"N/A"))</f>
        <v>0.15</v>
      </c>
      <c r="F24" s="247"/>
    </row>
    <row r="25" spans="1:6" ht="20.100000000000001" customHeight="1" thickBot="1" x14ac:dyDescent="0.3">
      <c r="C25" s="181"/>
      <c r="D25" s="181"/>
      <c r="F25" s="247"/>
    </row>
    <row r="26" spans="1:6" ht="50.1" customHeight="1" thickBot="1" x14ac:dyDescent="0.3">
      <c r="B26" s="459" t="s">
        <v>1366</v>
      </c>
      <c r="C26" s="460"/>
      <c r="D26" s="461"/>
      <c r="F26" s="247"/>
    </row>
    <row r="27" spans="1:6" ht="20.100000000000001" customHeight="1" x14ac:dyDescent="0.25">
      <c r="B27" s="88"/>
      <c r="C27" s="89" t="s">
        <v>0</v>
      </c>
      <c r="D27" s="90" t="s">
        <v>1</v>
      </c>
      <c r="F27" s="247"/>
    </row>
    <row r="28" spans="1:6" ht="24.9" customHeight="1" x14ac:dyDescent="0.25">
      <c r="B28" s="85" t="s">
        <v>60</v>
      </c>
      <c r="C28" s="198"/>
      <c r="D28" s="371" t="s">
        <v>340</v>
      </c>
      <c r="F28" s="247"/>
    </row>
    <row r="29" spans="1:6" ht="20.100000000000001" customHeight="1" x14ac:dyDescent="0.25">
      <c r="A29" s="206" t="s">
        <v>544</v>
      </c>
      <c r="B29" s="86" t="s">
        <v>986</v>
      </c>
      <c r="C29" s="194"/>
      <c r="D29" s="196"/>
      <c r="E29" s="26" t="str">
        <f>IF(C29="Yes",1,IF(C29="No",0,"N/A"))</f>
        <v>N/A</v>
      </c>
      <c r="F29" s="247"/>
    </row>
    <row r="30" spans="1:6" ht="20.100000000000001" customHeight="1" x14ac:dyDescent="0.25">
      <c r="A30" s="206" t="s">
        <v>545</v>
      </c>
      <c r="B30" s="86" t="s">
        <v>1356</v>
      </c>
      <c r="C30" s="194"/>
      <c r="D30" s="196"/>
      <c r="E30" s="26" t="str">
        <f>IF(C30="Yes",1,IF(C30="No",0,"N/A"))</f>
        <v>N/A</v>
      </c>
      <c r="F30" s="247"/>
    </row>
    <row r="31" spans="1:6" ht="26.25" customHeight="1" x14ac:dyDescent="0.25">
      <c r="A31" s="206" t="s">
        <v>546</v>
      </c>
      <c r="B31" s="97" t="s">
        <v>987</v>
      </c>
      <c r="C31" s="194"/>
      <c r="D31" s="196"/>
      <c r="E31" s="26">
        <f>IF(C31="No",1,0)</f>
        <v>0</v>
      </c>
      <c r="F31" s="247"/>
    </row>
    <row r="32" spans="1:6" ht="20.100000000000001" customHeight="1" x14ac:dyDescent="0.25">
      <c r="A32" s="206" t="s">
        <v>547</v>
      </c>
      <c r="B32" s="86" t="s">
        <v>988</v>
      </c>
      <c r="C32" s="194"/>
      <c r="D32" s="196"/>
      <c r="E32" s="26">
        <f>IF(C32="No",1,0)</f>
        <v>0</v>
      </c>
      <c r="F32" s="247"/>
    </row>
    <row r="33" spans="1:6" ht="20.100000000000001" customHeight="1" x14ac:dyDescent="0.25">
      <c r="A33" s="206" t="s">
        <v>548</v>
      </c>
      <c r="B33" s="86" t="s">
        <v>1357</v>
      </c>
      <c r="C33" s="194"/>
      <c r="D33" s="196"/>
      <c r="E33" s="26">
        <f>IF(C33="No",1,0)</f>
        <v>0</v>
      </c>
      <c r="F33" s="247"/>
    </row>
    <row r="34" spans="1:6" ht="20.100000000000001" customHeight="1" x14ac:dyDescent="0.25">
      <c r="B34" s="85" t="s">
        <v>1419</v>
      </c>
      <c r="C34" s="197"/>
      <c r="D34" s="204"/>
      <c r="F34" s="247"/>
    </row>
    <row r="35" spans="1:6" ht="20.100000000000001" customHeight="1" x14ac:dyDescent="0.25">
      <c r="B35" s="86" t="s">
        <v>989</v>
      </c>
      <c r="C35" s="194"/>
      <c r="D35" s="196"/>
      <c r="E35" s="26" t="str">
        <f>IF(PROFILE!C14&lt;=1,"N/A",IF(C35="Yes",1,0))</f>
        <v>N/A</v>
      </c>
      <c r="F35" s="247"/>
    </row>
    <row r="36" spans="1:6" ht="24.9" customHeight="1" x14ac:dyDescent="0.25">
      <c r="B36" s="85" t="s">
        <v>43</v>
      </c>
      <c r="C36" s="198"/>
      <c r="D36" s="196"/>
      <c r="F36" s="247"/>
    </row>
    <row r="37" spans="1:6" ht="20.100000000000001" customHeight="1" x14ac:dyDescent="0.25">
      <c r="A37" s="206" t="s">
        <v>549</v>
      </c>
      <c r="B37" s="97" t="s">
        <v>1211</v>
      </c>
      <c r="C37" s="197"/>
      <c r="D37" s="195"/>
      <c r="E37" s="26">
        <f>IF(D37="Yes",1,0)</f>
        <v>0</v>
      </c>
      <c r="F37" s="247"/>
    </row>
    <row r="38" spans="1:6" ht="20.100000000000001" customHeight="1" thickBot="1" x14ac:dyDescent="0.3">
      <c r="B38" s="87"/>
      <c r="C38" s="92">
        <f>AVERAGE(E29:E35)</f>
        <v>0</v>
      </c>
      <c r="D38" s="93">
        <f>E37</f>
        <v>0</v>
      </c>
      <c r="F38" s="247"/>
    </row>
    <row r="39" spans="1:6" ht="20.100000000000001" customHeight="1" thickBot="1" x14ac:dyDescent="0.3">
      <c r="C39" s="181"/>
      <c r="D39" s="181"/>
      <c r="F39" s="247"/>
    </row>
    <row r="40" spans="1:6" ht="50.1" customHeight="1" thickBot="1" x14ac:dyDescent="0.3">
      <c r="B40" s="459" t="s">
        <v>1367</v>
      </c>
      <c r="C40" s="460"/>
      <c r="D40" s="461"/>
      <c r="F40" s="247"/>
    </row>
    <row r="41" spans="1:6" ht="20.100000000000001" customHeight="1" x14ac:dyDescent="0.25">
      <c r="B41" s="88"/>
      <c r="C41" s="89" t="s">
        <v>0</v>
      </c>
      <c r="D41" s="90" t="s">
        <v>1</v>
      </c>
      <c r="F41" s="247"/>
    </row>
    <row r="42" spans="1:6" s="1" customFormat="1" ht="24.9" customHeight="1" x14ac:dyDescent="0.25">
      <c r="A42" s="206"/>
      <c r="B42" s="85" t="s">
        <v>1421</v>
      </c>
      <c r="C42" s="197"/>
      <c r="D42" s="372" t="s">
        <v>340</v>
      </c>
      <c r="E42" s="27"/>
      <c r="F42" s="247"/>
    </row>
    <row r="43" spans="1:6" ht="20.100000000000001" customHeight="1" x14ac:dyDescent="0.25">
      <c r="A43" s="206" t="s">
        <v>565</v>
      </c>
      <c r="B43" s="86" t="s">
        <v>990</v>
      </c>
      <c r="C43" s="194"/>
      <c r="D43" s="196"/>
      <c r="E43" s="26" t="str">
        <f>IF(C43="Yes",1,IF(C43="No",0,"N/A"))</f>
        <v>N/A</v>
      </c>
      <c r="F43" s="247"/>
    </row>
    <row r="44" spans="1:6" ht="20.100000000000001" customHeight="1" x14ac:dyDescent="0.25">
      <c r="A44" s="206" t="s">
        <v>740</v>
      </c>
      <c r="B44" s="97" t="s">
        <v>991</v>
      </c>
      <c r="C44" s="194"/>
      <c r="D44" s="196"/>
      <c r="E44" s="26" t="str">
        <f>IF(C44="Yes",1,IF(C44="No",0,"N/A"))</f>
        <v>N/A</v>
      </c>
      <c r="F44" s="247"/>
    </row>
    <row r="45" spans="1:6" ht="20.100000000000001" customHeight="1" x14ac:dyDescent="0.25">
      <c r="B45" s="97" t="s">
        <v>1358</v>
      </c>
      <c r="C45" s="194"/>
      <c r="D45" s="196"/>
      <c r="E45" s="26" t="str">
        <f>IF(C45="Yes",1,IF(C45="No",0,"N/A"))</f>
        <v>N/A</v>
      </c>
      <c r="F45" s="247"/>
    </row>
    <row r="46" spans="1:6" ht="20.100000000000001" customHeight="1" x14ac:dyDescent="0.25">
      <c r="B46" s="97" t="s">
        <v>1359</v>
      </c>
      <c r="C46" s="194"/>
      <c r="D46" s="196"/>
      <c r="E46" s="26" t="str">
        <f>IF(C46="Yes",1,IF(C46="No",0,"N/A"))</f>
        <v>N/A</v>
      </c>
      <c r="F46" s="247"/>
    </row>
    <row r="47" spans="1:6" ht="20.100000000000001" customHeight="1" x14ac:dyDescent="0.25">
      <c r="A47" s="206" t="s">
        <v>741</v>
      </c>
      <c r="B47" s="86" t="s">
        <v>992</v>
      </c>
      <c r="C47" s="194"/>
      <c r="D47" s="196"/>
      <c r="E47" s="26" t="str">
        <f>IF(C47="Yes",1,IF(C47="No",0,"N/A"))</f>
        <v>N/A</v>
      </c>
      <c r="F47" s="247"/>
    </row>
    <row r="48" spans="1:6" ht="20.100000000000001" customHeight="1" x14ac:dyDescent="0.25">
      <c r="A48" s="206" t="s">
        <v>742</v>
      </c>
      <c r="B48" s="86" t="s">
        <v>993</v>
      </c>
      <c r="C48" s="194"/>
      <c r="D48" s="196"/>
      <c r="E48" s="26">
        <f>IF(C48="Yes",1,0)</f>
        <v>0</v>
      </c>
      <c r="F48" s="247"/>
    </row>
    <row r="49" spans="1:6" ht="20.100000000000001" customHeight="1" thickBot="1" x14ac:dyDescent="0.3">
      <c r="B49" s="87"/>
      <c r="C49" s="92">
        <f>IFERROR(AVERAGE(E43:E48),"N/A")</f>
        <v>0</v>
      </c>
      <c r="D49" s="93" t="s">
        <v>47</v>
      </c>
      <c r="F49" s="247"/>
    </row>
    <row r="50" spans="1:6" ht="20.100000000000001" customHeight="1" thickBot="1" x14ac:dyDescent="0.3">
      <c r="C50" s="181"/>
      <c r="D50" s="181"/>
      <c r="F50" s="247"/>
    </row>
    <row r="51" spans="1:6" ht="50.1" customHeight="1" x14ac:dyDescent="0.25">
      <c r="B51" s="456" t="s">
        <v>1368</v>
      </c>
      <c r="C51" s="457"/>
      <c r="D51" s="458"/>
      <c r="F51" s="247"/>
    </row>
    <row r="52" spans="1:6" ht="20.100000000000001" customHeight="1" x14ac:dyDescent="0.25">
      <c r="B52" s="82"/>
      <c r="C52" s="83" t="s">
        <v>0</v>
      </c>
      <c r="D52" s="84" t="s">
        <v>1</v>
      </c>
      <c r="F52" s="247"/>
    </row>
    <row r="53" spans="1:6" ht="24.9" customHeight="1" x14ac:dyDescent="0.25">
      <c r="B53" s="85" t="s">
        <v>61</v>
      </c>
      <c r="C53" s="197"/>
      <c r="D53" s="372" t="s">
        <v>340</v>
      </c>
      <c r="F53" s="247"/>
    </row>
    <row r="54" spans="1:6" ht="20.100000000000001" customHeight="1" x14ac:dyDescent="0.25">
      <c r="A54" s="206" t="s">
        <v>561</v>
      </c>
      <c r="B54" s="86" t="s">
        <v>994</v>
      </c>
      <c r="C54" s="197"/>
      <c r="D54" s="195"/>
      <c r="E54" s="26">
        <f>D54</f>
        <v>0</v>
      </c>
      <c r="F54" s="247"/>
    </row>
    <row r="55" spans="1:6" ht="20.100000000000001" customHeight="1" x14ac:dyDescent="0.25">
      <c r="A55" s="206" t="s">
        <v>562</v>
      </c>
      <c r="B55" s="86" t="s">
        <v>995</v>
      </c>
      <c r="C55" s="194"/>
      <c r="D55" s="196"/>
      <c r="E55" s="26">
        <f>IF(D$54=100%,"N/A",IF(C55="Yes",1,0))</f>
        <v>0</v>
      </c>
      <c r="F55" s="247"/>
    </row>
    <row r="56" spans="1:6" ht="20.100000000000001" customHeight="1" x14ac:dyDescent="0.25">
      <c r="A56" s="206" t="s">
        <v>563</v>
      </c>
      <c r="B56" s="86" t="s">
        <v>996</v>
      </c>
      <c r="C56" s="194"/>
      <c r="D56" s="196"/>
      <c r="E56" s="26" t="str">
        <f>IF(D$54=100%,"N/A",IF(C56="Yes",1,IF(C56="No",0,"N/A")))</f>
        <v>N/A</v>
      </c>
      <c r="F56" s="247"/>
    </row>
    <row r="57" spans="1:6" ht="20.100000000000001" customHeight="1" x14ac:dyDescent="0.25">
      <c r="A57" s="206" t="s">
        <v>564</v>
      </c>
      <c r="B57" s="86" t="s">
        <v>997</v>
      </c>
      <c r="C57" s="194"/>
      <c r="D57" s="196"/>
      <c r="E57" s="26" t="str">
        <f>IF(D$54=100%,"N/A",IF(C57="Yes",1,IF(C57="No",0,"N/A")))</f>
        <v>N/A</v>
      </c>
      <c r="F57" s="247"/>
    </row>
    <row r="58" spans="1:6" ht="20.100000000000001" customHeight="1" x14ac:dyDescent="0.25">
      <c r="A58" s="206" t="s">
        <v>566</v>
      </c>
      <c r="B58" s="86" t="s">
        <v>998</v>
      </c>
      <c r="C58" s="197"/>
      <c r="D58" s="195"/>
      <c r="E58" s="26" t="str">
        <f>IF(D58="Yes",1,IF(D58="No",0,"N/A"))</f>
        <v>N/A</v>
      </c>
      <c r="F58" s="247"/>
    </row>
    <row r="59" spans="1:6" ht="20.100000000000001" customHeight="1" x14ac:dyDescent="0.25">
      <c r="A59" s="206" t="s">
        <v>567</v>
      </c>
      <c r="B59" s="86" t="s">
        <v>999</v>
      </c>
      <c r="C59" s="197"/>
      <c r="D59" s="195"/>
      <c r="E59" s="26" t="str">
        <f>IF(D59="Yes",1,IF(D59="No",0,"N/A"))</f>
        <v>N/A</v>
      </c>
      <c r="F59" s="247"/>
    </row>
    <row r="60" spans="1:6" ht="20.100000000000001" customHeight="1" x14ac:dyDescent="0.25">
      <c r="A60" s="206" t="s">
        <v>568</v>
      </c>
      <c r="B60" s="86" t="s">
        <v>1000</v>
      </c>
      <c r="C60" s="197"/>
      <c r="D60" s="195"/>
      <c r="E60" s="26">
        <f>IF(D$54=100%,"N/A",IF(D60="Yes",1,0))</f>
        <v>0</v>
      </c>
      <c r="F60" s="247"/>
    </row>
    <row r="61" spans="1:6" ht="35.1" customHeight="1" x14ac:dyDescent="0.25">
      <c r="A61" s="206" t="s">
        <v>569</v>
      </c>
      <c r="B61" s="86" t="s">
        <v>1001</v>
      </c>
      <c r="C61" s="197"/>
      <c r="D61" s="195"/>
      <c r="E61" s="26">
        <f>IF(D$54=100%,"N/A",IF(D61="Yes",1,0))</f>
        <v>0</v>
      </c>
      <c r="F61" s="247"/>
    </row>
    <row r="62" spans="1:6" ht="20.100000000000001" customHeight="1" x14ac:dyDescent="0.25">
      <c r="A62" s="206" t="s">
        <v>570</v>
      </c>
      <c r="B62" s="86" t="s">
        <v>1002</v>
      </c>
      <c r="C62" s="197"/>
      <c r="D62" s="195"/>
      <c r="E62" s="26">
        <f>IF(D62="Yes",1,0)</f>
        <v>0</v>
      </c>
      <c r="F62" s="247"/>
    </row>
    <row r="63" spans="1:6" ht="20.100000000000001" customHeight="1" x14ac:dyDescent="0.25">
      <c r="A63" s="206" t="s">
        <v>571</v>
      </c>
      <c r="B63" s="86" t="s">
        <v>1003</v>
      </c>
      <c r="C63" s="197"/>
      <c r="D63" s="195"/>
      <c r="E63" s="26">
        <f>IF(D63="Yes",1,0)</f>
        <v>0</v>
      </c>
      <c r="F63" s="247"/>
    </row>
    <row r="64" spans="1:6" ht="20.100000000000001" customHeight="1" x14ac:dyDescent="0.25">
      <c r="A64" s="206" t="s">
        <v>572</v>
      </c>
      <c r="B64" s="86" t="s">
        <v>1004</v>
      </c>
      <c r="C64" s="197"/>
      <c r="D64" s="195"/>
      <c r="E64" s="26">
        <f>IF(D64="No",1,0)</f>
        <v>0</v>
      </c>
      <c r="F64" s="247"/>
    </row>
    <row r="65" spans="1:6" ht="20.100000000000001" customHeight="1" x14ac:dyDescent="0.25">
      <c r="A65" s="206" t="s">
        <v>573</v>
      </c>
      <c r="B65" s="86" t="s">
        <v>1005</v>
      </c>
      <c r="C65" s="197"/>
      <c r="D65" s="195"/>
      <c r="E65" s="26" t="str">
        <f>IF(D65="Yes",1,IF(D65="No",0,"N/A"))</f>
        <v>N/A</v>
      </c>
      <c r="F65" s="247"/>
    </row>
    <row r="66" spans="1:6" s="6" customFormat="1" ht="24.9" customHeight="1" x14ac:dyDescent="0.25">
      <c r="A66" s="206"/>
      <c r="B66" s="85" t="s">
        <v>62</v>
      </c>
      <c r="C66" s="197"/>
      <c r="D66" s="371" t="s">
        <v>340</v>
      </c>
      <c r="E66" s="27"/>
      <c r="F66" s="247"/>
    </row>
    <row r="67" spans="1:6" s="6" customFormat="1" ht="20.100000000000001" customHeight="1" x14ac:dyDescent="0.25">
      <c r="A67" s="206"/>
      <c r="B67" s="86" t="s">
        <v>1006</v>
      </c>
      <c r="C67" s="197"/>
      <c r="D67" s="195"/>
      <c r="E67" s="27">
        <f>IF(PROFILE!C$49="No","N/A",IF(D67="Yes",1,0))</f>
        <v>0</v>
      </c>
      <c r="F67" s="247"/>
    </row>
    <row r="68" spans="1:6" x14ac:dyDescent="0.25">
      <c r="A68" s="206" t="s">
        <v>574</v>
      </c>
      <c r="B68" s="86" t="s">
        <v>1007</v>
      </c>
      <c r="C68" s="197"/>
      <c r="D68" s="195"/>
      <c r="E68" s="27">
        <f>IF(PROFILE!C$49="No","N/A",IF(D68="Yes",1,0))</f>
        <v>0</v>
      </c>
      <c r="F68" s="247"/>
    </row>
    <row r="69" spans="1:6" ht="25.5" customHeight="1" x14ac:dyDescent="0.25">
      <c r="A69" s="206" t="s">
        <v>575</v>
      </c>
      <c r="B69" s="86" t="s">
        <v>1008</v>
      </c>
      <c r="C69" s="197"/>
      <c r="D69" s="195"/>
      <c r="E69" s="27">
        <f>IF(PROFILE!C$49="No","N/A",IF(D69="Yes",1,0))</f>
        <v>0</v>
      </c>
      <c r="F69" s="247"/>
    </row>
    <row r="70" spans="1:6" ht="20.100000000000001" customHeight="1" x14ac:dyDescent="0.25">
      <c r="A70" s="206" t="s">
        <v>576</v>
      </c>
      <c r="B70" s="86" t="s">
        <v>1009</v>
      </c>
      <c r="C70" s="197"/>
      <c r="D70" s="195"/>
      <c r="E70" s="27">
        <f>IF(PROFILE!C$49="No","N/A",IF(D70="Yes",1,0))</f>
        <v>0</v>
      </c>
      <c r="F70" s="247"/>
    </row>
    <row r="71" spans="1:6" ht="20.100000000000001" customHeight="1" x14ac:dyDescent="0.25">
      <c r="B71" s="86" t="s">
        <v>1380</v>
      </c>
      <c r="C71" s="197"/>
      <c r="D71" s="195"/>
      <c r="F71" s="247"/>
    </row>
    <row r="72" spans="1:6" ht="25.5" customHeight="1" x14ac:dyDescent="0.25">
      <c r="A72" s="206" t="s">
        <v>577</v>
      </c>
      <c r="B72" s="86" t="s">
        <v>1010</v>
      </c>
      <c r="C72" s="197"/>
      <c r="D72" s="195"/>
      <c r="E72" s="26">
        <f>IF(D71="No","N/A",IF(D72="Yes",1,0))</f>
        <v>0</v>
      </c>
      <c r="F72" s="247"/>
    </row>
    <row r="73" spans="1:6" ht="25.5" customHeight="1" x14ac:dyDescent="0.25">
      <c r="B73" s="86" t="s">
        <v>1011</v>
      </c>
      <c r="C73" s="197"/>
      <c r="D73" s="195"/>
      <c r="E73" s="26">
        <f>IF(D71="No"," N/A",IF(D73="Yes",1,0))</f>
        <v>0</v>
      </c>
      <c r="F73" s="247"/>
    </row>
    <row r="74" spans="1:6" ht="25.5" customHeight="1" x14ac:dyDescent="0.25">
      <c r="B74" s="86" t="s">
        <v>1012</v>
      </c>
      <c r="C74" s="197"/>
      <c r="D74" s="195"/>
      <c r="E74" s="26">
        <f>IF(D71="No"," N/A",IF(D74="Yes",1,0))</f>
        <v>0</v>
      </c>
      <c r="F74" s="247"/>
    </row>
    <row r="75" spans="1:6" ht="25.5" customHeight="1" x14ac:dyDescent="0.25">
      <c r="A75" s="206" t="s">
        <v>578</v>
      </c>
      <c r="B75" s="86" t="s">
        <v>1013</v>
      </c>
      <c r="C75" s="197"/>
      <c r="D75" s="195"/>
      <c r="E75" s="26">
        <f>IF(D71="No"," N/A",IF(D75="Yes",1,0))</f>
        <v>0</v>
      </c>
      <c r="F75" s="247"/>
    </row>
    <row r="76" spans="1:6" ht="20.100000000000001" customHeight="1" x14ac:dyDescent="0.25">
      <c r="A76" s="206" t="s">
        <v>579</v>
      </c>
      <c r="B76" s="86" t="s">
        <v>1014</v>
      </c>
      <c r="C76" s="197"/>
      <c r="D76" s="195"/>
      <c r="E76" s="26">
        <f>IF(D71="No"," N/A",IF(D76="Yes",0,1))</f>
        <v>1</v>
      </c>
      <c r="F76" s="247"/>
    </row>
    <row r="77" spans="1:6" ht="24.9" customHeight="1" x14ac:dyDescent="0.25">
      <c r="B77" s="85" t="s">
        <v>87</v>
      </c>
      <c r="C77" s="197"/>
      <c r="D77" s="371" t="s">
        <v>340</v>
      </c>
      <c r="F77" s="247"/>
    </row>
    <row r="78" spans="1:6" ht="35.1" customHeight="1" x14ac:dyDescent="0.25">
      <c r="A78" s="206" t="s">
        <v>580</v>
      </c>
      <c r="B78" s="86" t="s">
        <v>1015</v>
      </c>
      <c r="C78" s="194"/>
      <c r="D78" s="196"/>
      <c r="E78" s="26" t="str">
        <f>IF(C78="Yes",1,IF(C78="No",0,"N/A"))</f>
        <v>N/A</v>
      </c>
      <c r="F78" s="247"/>
    </row>
    <row r="79" spans="1:6" ht="20.100000000000001" customHeight="1" x14ac:dyDescent="0.25">
      <c r="A79" s="206" t="s">
        <v>581</v>
      </c>
      <c r="B79" s="86" t="s">
        <v>1016</v>
      </c>
      <c r="C79" s="194"/>
      <c r="D79" s="196"/>
      <c r="E79" s="26">
        <f>IF(C79="Yes",1,0)</f>
        <v>0</v>
      </c>
      <c r="F79" s="247"/>
    </row>
    <row r="80" spans="1:6" ht="24.9" customHeight="1" x14ac:dyDescent="0.25">
      <c r="B80" s="85" t="s">
        <v>100</v>
      </c>
      <c r="C80" s="197"/>
      <c r="D80" s="371" t="s">
        <v>340</v>
      </c>
      <c r="F80" s="247"/>
    </row>
    <row r="81" spans="1:6" ht="35.1" customHeight="1" x14ac:dyDescent="0.25">
      <c r="A81" s="206" t="s">
        <v>582</v>
      </c>
      <c r="B81" s="86" t="s">
        <v>1017</v>
      </c>
      <c r="C81" s="248">
        <f>PEOPLE!C43</f>
        <v>0</v>
      </c>
      <c r="D81" s="196"/>
      <c r="E81" s="26">
        <f>IF(C81="Yes",1,0)</f>
        <v>0</v>
      </c>
      <c r="F81" s="247"/>
    </row>
    <row r="82" spans="1:6" ht="35.1" customHeight="1" x14ac:dyDescent="0.25">
      <c r="A82" s="206" t="s">
        <v>583</v>
      </c>
      <c r="B82" s="86" t="s">
        <v>1018</v>
      </c>
      <c r="C82" s="194"/>
      <c r="D82" s="196"/>
      <c r="E82" s="26" t="str">
        <f>IF(C82="Yes",1,IF(C82="No",0,"N/A"))</f>
        <v>N/A</v>
      </c>
      <c r="F82" s="247"/>
    </row>
    <row r="83" spans="1:6" ht="20.100000000000001" customHeight="1" thickBot="1" x14ac:dyDescent="0.3">
      <c r="B83" s="87"/>
      <c r="C83" s="92">
        <f>AVERAGE(E55:E57,E78:E82)</f>
        <v>0</v>
      </c>
      <c r="D83" s="93">
        <f>AVERAGE(E54,E58:E76)</f>
        <v>6.6666666666666666E-2</v>
      </c>
      <c r="F83" s="247"/>
    </row>
    <row r="84" spans="1:6" ht="20.100000000000001" customHeight="1" thickBot="1" x14ac:dyDescent="0.3">
      <c r="C84" s="181"/>
      <c r="D84" s="181"/>
      <c r="F84" s="247"/>
    </row>
    <row r="85" spans="1:6" ht="50.1" customHeight="1" thickBot="1" x14ac:dyDescent="0.3">
      <c r="B85" s="453" t="s">
        <v>1369</v>
      </c>
      <c r="C85" s="454"/>
      <c r="D85" s="455"/>
      <c r="F85" s="247"/>
    </row>
    <row r="86" spans="1:6" ht="20.100000000000001" customHeight="1" x14ac:dyDescent="0.25">
      <c r="B86" s="88"/>
      <c r="C86" s="89" t="s">
        <v>0</v>
      </c>
      <c r="D86" s="90" t="s">
        <v>1</v>
      </c>
      <c r="F86" s="247"/>
    </row>
    <row r="87" spans="1:6" ht="39.9" customHeight="1" x14ac:dyDescent="0.25">
      <c r="B87" s="85" t="s">
        <v>351</v>
      </c>
      <c r="C87" s="197"/>
      <c r="D87" s="371" t="s">
        <v>340</v>
      </c>
      <c r="F87" s="247"/>
    </row>
    <row r="88" spans="1:6" ht="20.100000000000001" customHeight="1" x14ac:dyDescent="0.25">
      <c r="B88" s="86" t="s">
        <v>350</v>
      </c>
      <c r="C88" s="197"/>
      <c r="D88" s="196"/>
      <c r="F88" s="247"/>
    </row>
    <row r="89" spans="1:6" ht="39.9" customHeight="1" x14ac:dyDescent="0.25">
      <c r="A89" s="206" t="s">
        <v>584</v>
      </c>
      <c r="B89" s="97" t="s">
        <v>794</v>
      </c>
      <c r="C89" s="194"/>
      <c r="D89" s="196"/>
      <c r="E89" s="26" t="str">
        <f t="shared" ref="E89:E94" si="0">IF(C89="Yes",1,IF(C89="No",0,"N/A"))</f>
        <v>N/A</v>
      </c>
      <c r="F89" s="247"/>
    </row>
    <row r="90" spans="1:6" ht="39.9" customHeight="1" x14ac:dyDescent="0.25">
      <c r="B90" s="97" t="s">
        <v>795</v>
      </c>
      <c r="C90" s="194"/>
      <c r="D90" s="196"/>
      <c r="E90" s="26" t="str">
        <f t="shared" si="0"/>
        <v>N/A</v>
      </c>
      <c r="F90" s="247"/>
    </row>
    <row r="91" spans="1:6" ht="24.75" customHeight="1" x14ac:dyDescent="0.25">
      <c r="A91" s="206" t="s">
        <v>585</v>
      </c>
      <c r="B91" s="97" t="s">
        <v>1360</v>
      </c>
      <c r="C91" s="194"/>
      <c r="D91" s="196"/>
      <c r="E91" s="26" t="str">
        <f t="shared" si="0"/>
        <v>N/A</v>
      </c>
      <c r="F91" s="247"/>
    </row>
    <row r="92" spans="1:6" ht="20.100000000000001" customHeight="1" x14ac:dyDescent="0.25">
      <c r="B92" s="219" t="s">
        <v>796</v>
      </c>
      <c r="C92" s="208"/>
      <c r="D92" s="209"/>
      <c r="E92" s="26" t="str">
        <f t="shared" si="0"/>
        <v>N/A</v>
      </c>
      <c r="F92" s="247"/>
    </row>
    <row r="93" spans="1:6" ht="20.100000000000001" customHeight="1" x14ac:dyDescent="0.25">
      <c r="B93" s="219" t="s">
        <v>1364</v>
      </c>
      <c r="C93" s="208"/>
      <c r="D93" s="209"/>
      <c r="E93" s="26" t="str">
        <f t="shared" si="0"/>
        <v>N/A</v>
      </c>
      <c r="F93" s="247"/>
    </row>
    <row r="94" spans="1:6" ht="20.100000000000001" customHeight="1" x14ac:dyDescent="0.25">
      <c r="B94" s="219" t="s">
        <v>797</v>
      </c>
      <c r="C94" s="208"/>
      <c r="D94" s="209"/>
      <c r="E94" s="26" t="str">
        <f t="shared" si="0"/>
        <v>N/A</v>
      </c>
      <c r="F94" s="247"/>
    </row>
    <row r="95" spans="1:6" ht="20.100000000000001" customHeight="1" thickBot="1" x14ac:dyDescent="0.3">
      <c r="B95" s="87"/>
      <c r="C95" s="92" t="str">
        <f>IFERROR(AVERAGE(E89:E94),"N/A")</f>
        <v>N/A</v>
      </c>
      <c r="D95" s="93" t="s">
        <v>47</v>
      </c>
      <c r="F95" s="247"/>
    </row>
    <row r="96" spans="1:6" ht="20.100000000000001" customHeight="1" thickBot="1" x14ac:dyDescent="0.3">
      <c r="C96" s="181"/>
      <c r="D96" s="181"/>
      <c r="F96" s="247"/>
    </row>
    <row r="97" spans="1:6" s="1" customFormat="1" ht="50.1" customHeight="1" thickBot="1" x14ac:dyDescent="0.3">
      <c r="A97" s="206"/>
      <c r="B97" s="453" t="s">
        <v>1370</v>
      </c>
      <c r="C97" s="454"/>
      <c r="D97" s="455"/>
      <c r="E97" s="27"/>
      <c r="F97" s="247"/>
    </row>
    <row r="98" spans="1:6" s="1" customFormat="1" ht="20.100000000000001" customHeight="1" x14ac:dyDescent="0.25">
      <c r="A98" s="206"/>
      <c r="B98" s="88"/>
      <c r="C98" s="89" t="s">
        <v>0</v>
      </c>
      <c r="D98" s="90" t="s">
        <v>1</v>
      </c>
      <c r="E98" s="27"/>
      <c r="F98" s="247"/>
    </row>
    <row r="99" spans="1:6" s="1" customFormat="1" ht="39.9" customHeight="1" x14ac:dyDescent="0.25">
      <c r="A99" s="206"/>
      <c r="B99" s="220" t="s">
        <v>825</v>
      </c>
      <c r="C99" s="197"/>
      <c r="D99" s="371" t="s">
        <v>340</v>
      </c>
      <c r="E99" s="27"/>
      <c r="F99" s="247"/>
    </row>
    <row r="100" spans="1:6" s="1" customFormat="1" ht="20.100000000000001" customHeight="1" x14ac:dyDescent="0.25">
      <c r="A100" s="206" t="s">
        <v>779</v>
      </c>
      <c r="B100" s="97" t="s">
        <v>1019</v>
      </c>
      <c r="C100" s="194"/>
      <c r="D100" s="196"/>
      <c r="E100" s="26">
        <f>IF(OR(PROFILE!C26="No",PROFILE!C27="No"),"N/A",IF(C100="Yes",1,0))</f>
        <v>0</v>
      </c>
      <c r="F100" s="247"/>
    </row>
    <row r="101" spans="1:6" ht="20.100000000000001" customHeight="1" x14ac:dyDescent="0.25">
      <c r="A101" s="206" t="s">
        <v>780</v>
      </c>
      <c r="B101" s="97" t="s">
        <v>1020</v>
      </c>
      <c r="C101" s="332">
        <f>PROSPERITY!C12</f>
        <v>0</v>
      </c>
      <c r="D101" s="196"/>
      <c r="E101" s="26">
        <f>IF(PROFILE!C26="No","N/A",IF(C101="Yes",1,0))</f>
        <v>0</v>
      </c>
      <c r="F101" s="247"/>
    </row>
    <row r="102" spans="1:6" ht="20.100000000000001" customHeight="1" x14ac:dyDescent="0.25">
      <c r="A102" s="206" t="s">
        <v>782</v>
      </c>
      <c r="B102" s="97" t="s">
        <v>1021</v>
      </c>
      <c r="C102" s="197"/>
      <c r="D102" s="195"/>
      <c r="E102" s="26">
        <f>IF(PROFILE!C26="No","N/A",IF(D102="Yes",1,0))</f>
        <v>0</v>
      </c>
      <c r="F102" s="247"/>
    </row>
    <row r="103" spans="1:6" ht="20.100000000000001" customHeight="1" x14ac:dyDescent="0.25">
      <c r="A103" s="206" t="s">
        <v>781</v>
      </c>
      <c r="B103" s="97" t="s">
        <v>1022</v>
      </c>
      <c r="C103" s="197"/>
      <c r="D103" s="195"/>
      <c r="E103" s="26">
        <f>IF(PROFILE!C26="No","N/A",IF(D103="Yes",1,0))</f>
        <v>0</v>
      </c>
      <c r="F103" s="247"/>
    </row>
    <row r="104" spans="1:6" ht="20.100000000000001" customHeight="1" x14ac:dyDescent="0.25">
      <c r="A104" s="206" t="s">
        <v>783</v>
      </c>
      <c r="B104" s="97" t="s">
        <v>1023</v>
      </c>
      <c r="C104" s="197"/>
      <c r="D104" s="195"/>
      <c r="E104" s="26" t="str">
        <f>IF(D104="Yes",1,IF(D104="No",0,"N/A"))</f>
        <v>N/A</v>
      </c>
      <c r="F104" s="247"/>
    </row>
    <row r="105" spans="1:6" ht="20.100000000000001" customHeight="1" thickBot="1" x14ac:dyDescent="0.3">
      <c r="B105" s="87"/>
      <c r="C105" s="92">
        <f>IF(PROFILE!$C$26="No","N/A",IF(PROFILE!$C$27="No","N/A",AVERAGE(E100:E101)))</f>
        <v>0</v>
      </c>
      <c r="D105" s="93">
        <f>IF(PROFILE!$C$26="No","N/A",AVERAGE(PLANET!E102:E104))</f>
        <v>0</v>
      </c>
      <c r="F105" s="247"/>
    </row>
    <row r="106" spans="1:6" ht="20.100000000000001" customHeight="1" thickBot="1" x14ac:dyDescent="0.3">
      <c r="C106" s="181"/>
      <c r="D106" s="181"/>
      <c r="F106" s="247"/>
    </row>
    <row r="107" spans="1:6" ht="50.1" customHeight="1" thickBot="1" x14ac:dyDescent="0.3">
      <c r="B107" s="453" t="s">
        <v>1371</v>
      </c>
      <c r="C107" s="454"/>
      <c r="D107" s="455"/>
      <c r="F107" s="247"/>
    </row>
    <row r="108" spans="1:6" ht="20.100000000000001" customHeight="1" x14ac:dyDescent="0.25">
      <c r="B108" s="88"/>
      <c r="C108" s="89" t="s">
        <v>0</v>
      </c>
      <c r="D108" s="90" t="s">
        <v>1</v>
      </c>
      <c r="F108" s="247"/>
    </row>
    <row r="109" spans="1:6" s="1" customFormat="1" ht="24.9" customHeight="1" x14ac:dyDescent="0.25">
      <c r="A109" s="206"/>
      <c r="B109" s="85" t="s">
        <v>65</v>
      </c>
      <c r="C109" s="197"/>
      <c r="D109" s="371" t="s">
        <v>340</v>
      </c>
      <c r="E109" s="27"/>
      <c r="F109" s="247"/>
    </row>
    <row r="110" spans="1:6" ht="158.4" x14ac:dyDescent="0.25">
      <c r="B110" s="85" t="s">
        <v>883</v>
      </c>
      <c r="C110" s="194"/>
      <c r="D110" s="196"/>
      <c r="F110" s="320"/>
    </row>
    <row r="111" spans="1:6" ht="20.100000000000001" customHeight="1" x14ac:dyDescent="0.25">
      <c r="A111" s="206" t="s">
        <v>657</v>
      </c>
      <c r="B111" s="86" t="s">
        <v>1383</v>
      </c>
      <c r="C111" s="197"/>
      <c r="D111" s="196"/>
      <c r="F111" s="247"/>
    </row>
    <row r="112" spans="1:6" ht="20.100000000000001" customHeight="1" x14ac:dyDescent="0.25">
      <c r="B112" s="86" t="s">
        <v>383</v>
      </c>
      <c r="C112" s="197"/>
      <c r="D112" s="204"/>
      <c r="F112" s="247"/>
    </row>
    <row r="113" spans="1:6" ht="39.9" customHeight="1" x14ac:dyDescent="0.25">
      <c r="B113" s="86" t="s">
        <v>890</v>
      </c>
      <c r="C113" s="197"/>
      <c r="D113" s="204"/>
      <c r="F113" s="247"/>
    </row>
    <row r="114" spans="1:6" ht="20.100000000000001" customHeight="1" x14ac:dyDescent="0.25">
      <c r="B114" s="86" t="s">
        <v>891</v>
      </c>
      <c r="C114" s="197"/>
      <c r="D114" s="204"/>
      <c r="F114" s="247"/>
    </row>
    <row r="115" spans="1:6" ht="20.100000000000001" customHeight="1" x14ac:dyDescent="0.25">
      <c r="B115" s="86" t="s">
        <v>382</v>
      </c>
      <c r="C115" s="197"/>
      <c r="D115" s="204"/>
      <c r="F115" s="247"/>
    </row>
    <row r="116" spans="1:6" ht="20.100000000000001" customHeight="1" thickBot="1" x14ac:dyDescent="0.3">
      <c r="B116" s="87"/>
      <c r="C116" s="92">
        <f>IF(OR(C110="Option 1",C110="Option 4",C110="Option 3"),1,0)</f>
        <v>0</v>
      </c>
      <c r="D116" s="93" t="s">
        <v>47</v>
      </c>
      <c r="E116" s="28"/>
      <c r="F116" s="247"/>
    </row>
    <row r="117" spans="1:6" ht="20.100000000000001" customHeight="1" thickBot="1" x14ac:dyDescent="0.3">
      <c r="C117" s="249"/>
      <c r="D117" s="249"/>
      <c r="E117" s="28"/>
      <c r="F117" s="247"/>
    </row>
    <row r="118" spans="1:6" ht="50.1" customHeight="1" thickBot="1" x14ac:dyDescent="0.3">
      <c r="B118" s="453" t="s">
        <v>1372</v>
      </c>
      <c r="C118" s="454"/>
      <c r="D118" s="455"/>
      <c r="F118" s="247"/>
    </row>
    <row r="119" spans="1:6" ht="20.100000000000001" customHeight="1" x14ac:dyDescent="0.25">
      <c r="B119" s="88"/>
      <c r="C119" s="89" t="s">
        <v>0</v>
      </c>
      <c r="D119" s="90" t="s">
        <v>1</v>
      </c>
      <c r="F119" s="247"/>
    </row>
    <row r="120" spans="1:6" s="1" customFormat="1" ht="50.1" customHeight="1" x14ac:dyDescent="0.25">
      <c r="A120" s="206"/>
      <c r="B120" s="85" t="s">
        <v>179</v>
      </c>
      <c r="C120" s="197"/>
      <c r="D120" s="371" t="s">
        <v>340</v>
      </c>
      <c r="E120" s="27"/>
      <c r="F120" s="247"/>
    </row>
    <row r="121" spans="1:6" ht="39.9" customHeight="1" x14ac:dyDescent="0.25">
      <c r="A121" s="206" t="s">
        <v>688</v>
      </c>
      <c r="B121" s="86" t="s">
        <v>1024</v>
      </c>
      <c r="C121" s="194"/>
      <c r="D121" s="196"/>
      <c r="E121" s="26">
        <f>IF(PROFILE!C25="No","N/A",IF(C121="Yes",0,1))</f>
        <v>1</v>
      </c>
      <c r="F121" s="247"/>
    </row>
    <row r="122" spans="1:6" ht="39.9" customHeight="1" x14ac:dyDescent="0.25">
      <c r="A122" s="206" t="s">
        <v>689</v>
      </c>
      <c r="B122" s="86" t="s">
        <v>1025</v>
      </c>
      <c r="C122" s="194"/>
      <c r="D122" s="196"/>
      <c r="E122" s="26">
        <f>IF(PROFILE!C25="No","N/A",IF(C122="Yes",0,1))</f>
        <v>1</v>
      </c>
      <c r="F122" s="247"/>
    </row>
    <row r="123" spans="1:6" ht="39.9" customHeight="1" x14ac:dyDescent="0.25">
      <c r="B123" s="85" t="s">
        <v>180</v>
      </c>
      <c r="C123" s="197"/>
      <c r="D123" s="371" t="s">
        <v>340</v>
      </c>
      <c r="F123" s="247"/>
    </row>
    <row r="124" spans="1:6" ht="39.9" customHeight="1" x14ac:dyDescent="0.25">
      <c r="A124" s="206" t="s">
        <v>690</v>
      </c>
      <c r="B124" s="86" t="s">
        <v>1026</v>
      </c>
      <c r="C124" s="194"/>
      <c r="D124" s="196"/>
      <c r="E124" s="26" t="str">
        <f t="shared" ref="E124" si="1">IF(C124="Yes",1,IF(C124="No",0,"N/A"))</f>
        <v>N/A</v>
      </c>
      <c r="F124" s="247"/>
    </row>
    <row r="125" spans="1:6" s="1" customFormat="1" ht="24.9" customHeight="1" x14ac:dyDescent="0.25">
      <c r="A125" s="206"/>
      <c r="B125" s="85" t="s">
        <v>893</v>
      </c>
      <c r="C125" s="197"/>
      <c r="D125" s="371" t="s">
        <v>340</v>
      </c>
      <c r="E125" s="27"/>
      <c r="F125" s="247"/>
    </row>
    <row r="126" spans="1:6" ht="20.100000000000001" customHeight="1" x14ac:dyDescent="0.25">
      <c r="A126" s="206" t="s">
        <v>691</v>
      </c>
      <c r="B126" s="86" t="s">
        <v>1027</v>
      </c>
      <c r="C126" s="248">
        <f>C33</f>
        <v>0</v>
      </c>
      <c r="D126" s="196"/>
      <c r="E126" s="26">
        <f>IF(PROFILE!C25="No","N/A",IF(C126="Yes",0,1))</f>
        <v>1</v>
      </c>
      <c r="F126" s="247"/>
    </row>
    <row r="127" spans="1:6" ht="20.100000000000001" customHeight="1" x14ac:dyDescent="0.25">
      <c r="A127" s="206" t="s">
        <v>692</v>
      </c>
      <c r="B127" s="86" t="s">
        <v>1028</v>
      </c>
      <c r="C127" s="197"/>
      <c r="D127" s="96" t="str">
        <f>IF(PROSPERITY!C10="","",PROSPERITY!C10)</f>
        <v/>
      </c>
      <c r="E127" s="26" t="str">
        <f>IF(PROFILE!C25="No","N/A",IF(D127="Yes",1,IF(D127="No",0,"N/A")))</f>
        <v>N/A</v>
      </c>
      <c r="F127" s="247"/>
    </row>
    <row r="128" spans="1:6" ht="20.100000000000001" customHeight="1" x14ac:dyDescent="0.25">
      <c r="A128" s="206" t="s">
        <v>693</v>
      </c>
      <c r="B128" s="86" t="s">
        <v>1029</v>
      </c>
      <c r="C128" s="197"/>
      <c r="D128" s="195"/>
      <c r="E128" s="26">
        <f>IF(PROFILE!C25="No","N/A",IF(D128="Yes",1,0))</f>
        <v>0</v>
      </c>
      <c r="F128" s="247"/>
    </row>
    <row r="129" spans="1:7" s="1" customFormat="1" ht="24.9" customHeight="1" x14ac:dyDescent="0.25">
      <c r="A129" s="206"/>
      <c r="B129" s="85" t="s">
        <v>892</v>
      </c>
      <c r="C129" s="197"/>
      <c r="D129" s="371" t="s">
        <v>340</v>
      </c>
      <c r="E129" s="27"/>
      <c r="F129" s="247"/>
    </row>
    <row r="130" spans="1:7" ht="20.100000000000001" customHeight="1" x14ac:dyDescent="0.25">
      <c r="A130" s="206" t="s">
        <v>694</v>
      </c>
      <c r="B130" s="86" t="s">
        <v>1030</v>
      </c>
      <c r="C130" s="197"/>
      <c r="D130" s="96" t="str">
        <f>IF(PROSPERITY!C10="","",PROSPERITY!C10)</f>
        <v/>
      </c>
      <c r="E130" s="26" t="str">
        <f>IF(PROFILE!C25="No","N/A",IF(D130="Yes",1,IF(D130="No",0,"N/A")))</f>
        <v>N/A</v>
      </c>
      <c r="F130" s="247"/>
    </row>
    <row r="131" spans="1:7" ht="20.100000000000001" customHeight="1" x14ac:dyDescent="0.25">
      <c r="A131" s="206" t="s">
        <v>695</v>
      </c>
      <c r="B131" s="86" t="s">
        <v>1031</v>
      </c>
      <c r="C131" s="197"/>
      <c r="D131" s="195"/>
      <c r="E131" s="26">
        <f>IF(PROFILE!C25="No","N/A",IF(D131="Yes",1,0))</f>
        <v>0</v>
      </c>
      <c r="F131" s="247"/>
    </row>
    <row r="132" spans="1:7" ht="20.100000000000001" customHeight="1" x14ac:dyDescent="0.25">
      <c r="A132" s="206" t="s">
        <v>696</v>
      </c>
      <c r="B132" s="86" t="s">
        <v>1032</v>
      </c>
      <c r="C132" s="197"/>
      <c r="D132" s="195"/>
      <c r="E132" s="26">
        <f>IF(PROFILE!C25="No","N/A",IF(D132="Yes",0,1))</f>
        <v>1</v>
      </c>
      <c r="F132" s="247"/>
    </row>
    <row r="133" spans="1:7" ht="20.100000000000001" customHeight="1" x14ac:dyDescent="0.25">
      <c r="A133" s="206" t="s">
        <v>697</v>
      </c>
      <c r="B133" s="86" t="s">
        <v>1033</v>
      </c>
      <c r="C133" s="197"/>
      <c r="D133" s="195"/>
      <c r="E133" s="26" t="str">
        <f>IF(D133="Yes",1,IF(D133="No",0,"N/A"))</f>
        <v>N/A</v>
      </c>
      <c r="F133" s="247"/>
    </row>
    <row r="134" spans="1:7" s="1" customFormat="1" ht="24.9" customHeight="1" x14ac:dyDescent="0.25">
      <c r="A134" s="206"/>
      <c r="B134" s="85" t="s">
        <v>181</v>
      </c>
      <c r="C134" s="197"/>
      <c r="D134" s="371" t="s">
        <v>340</v>
      </c>
      <c r="E134" s="27"/>
      <c r="F134" s="247"/>
    </row>
    <row r="135" spans="1:7" s="1" customFormat="1" ht="24.9" customHeight="1" x14ac:dyDescent="0.25">
      <c r="A135" s="206" t="s">
        <v>698</v>
      </c>
      <c r="B135" s="86" t="s">
        <v>1034</v>
      </c>
      <c r="C135" s="197"/>
      <c r="D135" s="195"/>
      <c r="E135" s="27"/>
      <c r="F135" s="247"/>
    </row>
    <row r="136" spans="1:7" ht="20.100000000000001" customHeight="1" x14ac:dyDescent="0.25">
      <c r="A136" s="206" t="s">
        <v>699</v>
      </c>
      <c r="B136" s="86" t="s">
        <v>1035</v>
      </c>
      <c r="C136" s="194"/>
      <c r="D136" s="196"/>
      <c r="E136" s="26">
        <f>IF(D135="No","N/A",IF(C136="No",1,0))</f>
        <v>0</v>
      </c>
      <c r="F136" s="247"/>
    </row>
    <row r="137" spans="1:7" ht="20.100000000000001" customHeight="1" x14ac:dyDescent="0.25">
      <c r="A137" s="206" t="s">
        <v>700</v>
      </c>
      <c r="B137" s="86" t="s">
        <v>1036</v>
      </c>
      <c r="C137" s="194"/>
      <c r="D137" s="196"/>
      <c r="E137" s="26" t="str">
        <f>IF(D135="No","N/A",IF(C137="No",1,IF(C137="Yes",0,"N/A")))</f>
        <v>N/A</v>
      </c>
      <c r="F137" s="247"/>
    </row>
    <row r="138" spans="1:7" ht="20.100000000000001" customHeight="1" x14ac:dyDescent="0.25">
      <c r="A138" s="206" t="s">
        <v>701</v>
      </c>
      <c r="B138" s="86" t="s">
        <v>1037</v>
      </c>
      <c r="C138" s="194"/>
      <c r="D138" s="196"/>
      <c r="E138" s="26">
        <f>IF(D135="No","N/A",IF(C138="No",1,0))</f>
        <v>0</v>
      </c>
      <c r="F138" s="247"/>
    </row>
    <row r="139" spans="1:7" ht="20.100000000000001" customHeight="1" x14ac:dyDescent="0.25">
      <c r="A139" s="206" t="s">
        <v>702</v>
      </c>
      <c r="B139" s="86" t="s">
        <v>1038</v>
      </c>
      <c r="C139" s="194"/>
      <c r="D139" s="196"/>
      <c r="E139" s="26" t="str">
        <f>IF(D135="No","N/A",IF(C139="No",0,IF(C139="Yes",1,"N/A")))</f>
        <v>N/A</v>
      </c>
      <c r="F139" s="247"/>
    </row>
    <row r="140" spans="1:7" ht="20.100000000000001" customHeight="1" x14ac:dyDescent="0.25">
      <c r="A140" s="206" t="s">
        <v>703</v>
      </c>
      <c r="B140" s="86" t="s">
        <v>1039</v>
      </c>
      <c r="C140" s="197"/>
      <c r="D140" s="195"/>
      <c r="E140" s="26">
        <f>IF(D135="No","N/A",IF(D140="No",0,1))</f>
        <v>1</v>
      </c>
      <c r="F140" s="247"/>
    </row>
    <row r="141" spans="1:7" ht="15" customHeight="1" thickBot="1" x14ac:dyDescent="0.3">
      <c r="B141" s="87"/>
      <c r="C141" s="92">
        <f>IFERROR(AVERAGE(E121:E126,E136:E139),"N/A")</f>
        <v>0.6</v>
      </c>
      <c r="D141" s="92">
        <f>IFERROR(AVERAGE(E127:E133,E140),"N/A")</f>
        <v>0.5</v>
      </c>
      <c r="F141" s="247"/>
    </row>
    <row r="142" spans="1:7" ht="20.100000000000001" customHeight="1" thickBot="1" x14ac:dyDescent="0.3">
      <c r="C142" s="181"/>
      <c r="D142" s="181"/>
      <c r="F142" s="247"/>
    </row>
    <row r="143" spans="1:7" ht="50.1" customHeight="1" thickBot="1" x14ac:dyDescent="0.3">
      <c r="B143" s="453" t="s">
        <v>1373</v>
      </c>
      <c r="C143" s="454"/>
      <c r="D143" s="455"/>
      <c r="F143" s="247"/>
      <c r="G143" s="7"/>
    </row>
    <row r="144" spans="1:7" ht="20.100000000000001" customHeight="1" x14ac:dyDescent="0.25">
      <c r="B144" s="88"/>
      <c r="C144" s="89" t="s">
        <v>0</v>
      </c>
      <c r="D144" s="90" t="s">
        <v>1</v>
      </c>
      <c r="F144" s="247"/>
    </row>
    <row r="145" spans="1:7" ht="24.9" customHeight="1" x14ac:dyDescent="0.25">
      <c r="B145" s="85" t="s">
        <v>66</v>
      </c>
      <c r="C145" s="197"/>
      <c r="D145" s="371" t="s">
        <v>340</v>
      </c>
      <c r="F145" s="247"/>
    </row>
    <row r="146" spans="1:7" ht="35.1" customHeight="1" x14ac:dyDescent="0.25">
      <c r="A146" s="206" t="s">
        <v>658</v>
      </c>
      <c r="B146" s="86" t="s">
        <v>1040</v>
      </c>
      <c r="C146" s="197"/>
      <c r="D146" s="195"/>
      <c r="E146" s="26">
        <f>D146</f>
        <v>0</v>
      </c>
      <c r="F146" s="247"/>
      <c r="G146" t="s">
        <v>301</v>
      </c>
    </row>
    <row r="147" spans="1:7" ht="35.1" customHeight="1" x14ac:dyDescent="0.25">
      <c r="A147" s="206" t="s">
        <v>659</v>
      </c>
      <c r="B147" s="97" t="s">
        <v>1336</v>
      </c>
      <c r="C147" s="197"/>
      <c r="D147" s="195"/>
      <c r="E147" s="26">
        <f>D147</f>
        <v>0</v>
      </c>
      <c r="F147" s="247"/>
    </row>
    <row r="148" spans="1:7" ht="20.100000000000001" customHeight="1" x14ac:dyDescent="0.25">
      <c r="A148" s="206" t="s">
        <v>660</v>
      </c>
      <c r="B148" s="86" t="s">
        <v>1041</v>
      </c>
      <c r="C148" s="197"/>
      <c r="D148" s="195"/>
      <c r="E148" s="26">
        <f>IF(D148="Yes",1,0)</f>
        <v>0</v>
      </c>
      <c r="F148" s="247"/>
    </row>
    <row r="149" spans="1:7" ht="20.100000000000001" customHeight="1" x14ac:dyDescent="0.25">
      <c r="A149" s="206" t="s">
        <v>661</v>
      </c>
      <c r="B149" s="86" t="s">
        <v>1042</v>
      </c>
      <c r="C149" s="197"/>
      <c r="D149" s="195"/>
      <c r="E149" s="26" t="str">
        <f>IF(D149="Yes",1,IF(D149="No",0,"N/A"))</f>
        <v>N/A</v>
      </c>
      <c r="F149" s="247"/>
    </row>
    <row r="150" spans="1:7" ht="20.100000000000001" customHeight="1" x14ac:dyDescent="0.25">
      <c r="A150" s="206" t="s">
        <v>662</v>
      </c>
      <c r="B150" s="86" t="s">
        <v>1043</v>
      </c>
      <c r="C150" s="197"/>
      <c r="D150" s="195"/>
      <c r="E150" s="26">
        <f>IF(D150="Yes",1,0)</f>
        <v>0</v>
      </c>
      <c r="F150" s="247"/>
    </row>
    <row r="151" spans="1:7" ht="20.100000000000001" customHeight="1" x14ac:dyDescent="0.25">
      <c r="A151" s="206" t="s">
        <v>663</v>
      </c>
      <c r="B151" s="86" t="s">
        <v>1044</v>
      </c>
      <c r="C151" s="197"/>
      <c r="D151" s="195"/>
      <c r="E151" s="26">
        <f>IF(D151="Yes",1,0)</f>
        <v>0</v>
      </c>
      <c r="F151" s="247"/>
    </row>
    <row r="152" spans="1:7" ht="24.9" customHeight="1" x14ac:dyDescent="0.25">
      <c r="B152" s="85" t="s">
        <v>67</v>
      </c>
      <c r="C152" s="197"/>
      <c r="D152" s="371" t="s">
        <v>340</v>
      </c>
      <c r="F152" s="247"/>
    </row>
    <row r="153" spans="1:7" ht="24" customHeight="1" x14ac:dyDescent="0.25">
      <c r="A153" s="206" t="s">
        <v>664</v>
      </c>
      <c r="B153" s="86" t="s">
        <v>1045</v>
      </c>
      <c r="C153" s="197"/>
      <c r="D153" s="195"/>
      <c r="E153" s="26" t="e">
        <f>VLOOKUP(D153,OPTSCORE1,2,FALSE)</f>
        <v>#N/A</v>
      </c>
      <c r="F153" s="247"/>
    </row>
    <row r="154" spans="1:7" ht="24.9" customHeight="1" x14ac:dyDescent="0.25">
      <c r="B154" s="85" t="s">
        <v>68</v>
      </c>
      <c r="C154" s="197"/>
      <c r="D154" s="371" t="s">
        <v>340</v>
      </c>
      <c r="F154" s="247"/>
    </row>
    <row r="155" spans="1:7" ht="20.100000000000001" customHeight="1" x14ac:dyDescent="0.25">
      <c r="A155" s="206" t="s">
        <v>665</v>
      </c>
      <c r="B155" s="86" t="s">
        <v>1046</v>
      </c>
      <c r="C155" s="197"/>
      <c r="D155" s="195"/>
      <c r="E155" s="26" t="e">
        <f>VLOOKUP(D155,OPTSCORE1,2,FALSE)</f>
        <v>#N/A</v>
      </c>
      <c r="F155" s="247"/>
    </row>
    <row r="156" spans="1:7" s="1" customFormat="1" ht="24.9" customHeight="1" x14ac:dyDescent="0.25">
      <c r="A156" s="206"/>
      <c r="B156" s="85" t="s">
        <v>183</v>
      </c>
      <c r="C156" s="197"/>
      <c r="D156" s="371" t="s">
        <v>340</v>
      </c>
      <c r="E156" s="27"/>
      <c r="F156" s="247"/>
    </row>
    <row r="157" spans="1:7" ht="35.1" customHeight="1" x14ac:dyDescent="0.25">
      <c r="A157" s="206" t="s">
        <v>666</v>
      </c>
      <c r="B157" s="86" t="s">
        <v>1047</v>
      </c>
      <c r="C157" s="197"/>
      <c r="D157" s="195"/>
      <c r="E157" s="26" t="e">
        <f>VLOOKUP(D157,OPTSCORE1,2,FALSE)</f>
        <v>#N/A</v>
      </c>
      <c r="F157" s="247"/>
    </row>
    <row r="158" spans="1:7" s="6" customFormat="1" ht="24.9" customHeight="1" x14ac:dyDescent="0.25">
      <c r="A158" s="206"/>
      <c r="B158" s="85" t="s">
        <v>69</v>
      </c>
      <c r="C158" s="197"/>
      <c r="D158" s="371" t="s">
        <v>340</v>
      </c>
      <c r="E158" s="27"/>
      <c r="F158" s="247"/>
    </row>
    <row r="159" spans="1:7" s="6" customFormat="1" ht="20.100000000000001" customHeight="1" x14ac:dyDescent="0.25">
      <c r="A159" s="206" t="s">
        <v>667</v>
      </c>
      <c r="B159" s="86" t="s">
        <v>1048</v>
      </c>
      <c r="C159" s="197"/>
      <c r="D159" s="195"/>
      <c r="E159" s="26">
        <f>IF(D159="Yes",1,0)</f>
        <v>0</v>
      </c>
      <c r="F159" s="247"/>
    </row>
    <row r="160" spans="1:7" ht="20.100000000000001" customHeight="1" x14ac:dyDescent="0.25">
      <c r="A160" s="206" t="s">
        <v>668</v>
      </c>
      <c r="B160" s="86" t="s">
        <v>1049</v>
      </c>
      <c r="C160" s="197"/>
      <c r="D160" s="195"/>
      <c r="E160" s="26" t="e">
        <f>VLOOKUP(D160,OPTSCORE1,2,FALSE)</f>
        <v>#N/A</v>
      </c>
      <c r="F160" s="247"/>
    </row>
    <row r="161" spans="1:6" ht="20.100000000000001" customHeight="1" x14ac:dyDescent="0.25">
      <c r="A161" s="206" t="s">
        <v>669</v>
      </c>
      <c r="B161" s="86" t="s">
        <v>1050</v>
      </c>
      <c r="C161" s="197"/>
      <c r="D161" s="195"/>
      <c r="E161" s="26" t="e">
        <f>VLOOKUP(D161,OPTSCORE1,2,FALSE)</f>
        <v>#N/A</v>
      </c>
      <c r="F161" s="247"/>
    </row>
    <row r="162" spans="1:6" ht="24.9" customHeight="1" x14ac:dyDescent="0.25">
      <c r="B162" s="85" t="s">
        <v>13</v>
      </c>
      <c r="C162" s="197"/>
      <c r="D162" s="371" t="s">
        <v>340</v>
      </c>
      <c r="F162" s="247"/>
    </row>
    <row r="163" spans="1:6" ht="20.100000000000001" customHeight="1" x14ac:dyDescent="0.25">
      <c r="A163" s="206" t="s">
        <v>670</v>
      </c>
      <c r="B163" s="86" t="s">
        <v>1051</v>
      </c>
      <c r="C163" s="197"/>
      <c r="D163" s="195"/>
      <c r="E163" s="26">
        <f>IF(D163="Yes",1,0)</f>
        <v>0</v>
      </c>
      <c r="F163" s="247"/>
    </row>
    <row r="164" spans="1:6" s="1" customFormat="1" ht="24.9" customHeight="1" x14ac:dyDescent="0.25">
      <c r="A164" s="206"/>
      <c r="B164" s="85" t="s">
        <v>178</v>
      </c>
      <c r="C164" s="197"/>
      <c r="D164" s="371" t="s">
        <v>340</v>
      </c>
      <c r="E164" s="27"/>
      <c r="F164" s="247"/>
    </row>
    <row r="165" spans="1:6" s="1" customFormat="1" ht="35.1" customHeight="1" x14ac:dyDescent="0.25">
      <c r="A165" s="206" t="s">
        <v>671</v>
      </c>
      <c r="B165" s="86" t="s">
        <v>1052</v>
      </c>
      <c r="C165" s="197"/>
      <c r="D165" s="195"/>
      <c r="E165" s="26" t="e">
        <f>VLOOKUP(D165,OPTSCORE1,2,FALSE)</f>
        <v>#N/A</v>
      </c>
      <c r="F165" s="247"/>
    </row>
    <row r="166" spans="1:6" s="1" customFormat="1" ht="20.100000000000001" customHeight="1" x14ac:dyDescent="0.25">
      <c r="A166" s="206" t="s">
        <v>672</v>
      </c>
      <c r="B166" s="95" t="s">
        <v>1053</v>
      </c>
      <c r="C166" s="197"/>
      <c r="D166" s="195"/>
      <c r="E166" s="26">
        <f>IF(D166="Yes",1,0)</f>
        <v>0</v>
      </c>
      <c r="F166" s="247"/>
    </row>
    <row r="167" spans="1:6" s="1" customFormat="1" ht="24.9" customHeight="1" x14ac:dyDescent="0.25">
      <c r="A167" s="206"/>
      <c r="B167" s="85" t="s">
        <v>14</v>
      </c>
      <c r="C167" s="197"/>
      <c r="D167" s="371" t="s">
        <v>340</v>
      </c>
      <c r="E167" s="27"/>
      <c r="F167" s="247"/>
    </row>
    <row r="168" spans="1:6" ht="20.100000000000001" customHeight="1" x14ac:dyDescent="0.25">
      <c r="A168" s="206" t="s">
        <v>673</v>
      </c>
      <c r="B168" s="86" t="s">
        <v>1054</v>
      </c>
      <c r="C168" s="197"/>
      <c r="D168" s="195"/>
      <c r="E168" s="26">
        <f>IF(D168="Yes",1,0)</f>
        <v>0</v>
      </c>
      <c r="F168" s="247"/>
    </row>
    <row r="169" spans="1:6" s="1" customFormat="1" ht="24.9" customHeight="1" x14ac:dyDescent="0.25">
      <c r="A169" s="206"/>
      <c r="B169" s="85" t="s">
        <v>15</v>
      </c>
      <c r="C169" s="197"/>
      <c r="D169" s="371" t="s">
        <v>340</v>
      </c>
      <c r="E169" s="27"/>
      <c r="F169" s="247"/>
    </row>
    <row r="170" spans="1:6" ht="35.1" customHeight="1" x14ac:dyDescent="0.25">
      <c r="A170" s="206" t="s">
        <v>674</v>
      </c>
      <c r="B170" s="86" t="s">
        <v>1055</v>
      </c>
      <c r="C170" s="197"/>
      <c r="D170" s="195"/>
      <c r="E170" s="26" t="e">
        <f>VLOOKUP(D170,OPTSCORE1,2,FALSE)</f>
        <v>#N/A</v>
      </c>
      <c r="F170" s="247"/>
    </row>
    <row r="171" spans="1:6" s="1" customFormat="1" ht="24.9" customHeight="1" x14ac:dyDescent="0.25">
      <c r="A171" s="206"/>
      <c r="B171" s="85" t="s">
        <v>16</v>
      </c>
      <c r="C171" s="197"/>
      <c r="D171" s="371" t="s">
        <v>340</v>
      </c>
      <c r="E171" s="27"/>
      <c r="F171" s="247"/>
    </row>
    <row r="172" spans="1:6" s="1" customFormat="1" ht="20.100000000000001" customHeight="1" x14ac:dyDescent="0.25">
      <c r="A172" s="206" t="s">
        <v>675</v>
      </c>
      <c r="B172" s="86" t="s">
        <v>1056</v>
      </c>
      <c r="C172" s="194"/>
      <c r="D172" s="196"/>
      <c r="E172" s="26"/>
      <c r="F172" s="247"/>
    </row>
    <row r="173" spans="1:6" s="1" customFormat="1" ht="20.100000000000001" customHeight="1" x14ac:dyDescent="0.25">
      <c r="A173" s="206" t="s">
        <v>676</v>
      </c>
      <c r="B173" s="86" t="s">
        <v>1057</v>
      </c>
      <c r="C173" s="194"/>
      <c r="D173" s="196"/>
      <c r="E173" s="26">
        <f>IF(C172="No","N/A",IF(C173="Yes",1,0))</f>
        <v>0</v>
      </c>
      <c r="F173" s="247"/>
    </row>
    <row r="174" spans="1:6" s="1" customFormat="1" ht="20.100000000000001" customHeight="1" x14ac:dyDescent="0.25">
      <c r="A174" s="206" t="s">
        <v>677</v>
      </c>
      <c r="B174" s="86" t="s">
        <v>1058</v>
      </c>
      <c r="C174" s="194"/>
      <c r="D174" s="196"/>
      <c r="E174" s="26">
        <f>IF(C172="No","N/A",IF(C174="Yes",1,0))</f>
        <v>0</v>
      </c>
      <c r="F174" s="247"/>
    </row>
    <row r="175" spans="1:6" ht="20.100000000000001" customHeight="1" x14ac:dyDescent="0.25">
      <c r="A175" s="206" t="s">
        <v>678</v>
      </c>
      <c r="B175" s="86" t="s">
        <v>1059</v>
      </c>
      <c r="C175" s="194"/>
      <c r="D175" s="196"/>
      <c r="E175" s="26">
        <f>IF(C172="No","N/A",IF(C175="Yes",1,0))</f>
        <v>0</v>
      </c>
      <c r="F175" s="247"/>
    </row>
    <row r="176" spans="1:6" ht="39.9" customHeight="1" x14ac:dyDescent="0.25">
      <c r="B176" s="85" t="s">
        <v>323</v>
      </c>
      <c r="C176" s="197"/>
      <c r="D176" s="371" t="s">
        <v>340</v>
      </c>
      <c r="F176" s="247"/>
    </row>
    <row r="177" spans="1:6" ht="20.100000000000001" customHeight="1" x14ac:dyDescent="0.25">
      <c r="A177" s="206" t="s">
        <v>679</v>
      </c>
      <c r="B177" s="86" t="s">
        <v>1060</v>
      </c>
      <c r="C177" s="194"/>
      <c r="D177" s="196"/>
      <c r="E177" s="26" t="e">
        <f>VLOOKUP(C177,OPTSCORE3,2,FALSE)</f>
        <v>#N/A</v>
      </c>
      <c r="F177" s="247"/>
    </row>
    <row r="178" spans="1:6" ht="20.100000000000001" customHeight="1" x14ac:dyDescent="0.25">
      <c r="A178" s="206" t="s">
        <v>680</v>
      </c>
      <c r="B178" s="86" t="s">
        <v>1061</v>
      </c>
      <c r="C178" s="194"/>
      <c r="D178" s="196"/>
      <c r="E178" s="26" t="e">
        <f>VLOOKUP(C178,OPTSCORE3,2,FALSE)</f>
        <v>#N/A</v>
      </c>
      <c r="F178" s="247"/>
    </row>
    <row r="179" spans="1:6" ht="35.1" customHeight="1" x14ac:dyDescent="0.25">
      <c r="A179" s="206" t="s">
        <v>681</v>
      </c>
      <c r="B179" s="86" t="s">
        <v>1062</v>
      </c>
      <c r="C179" s="194"/>
      <c r="D179" s="196"/>
      <c r="E179" s="26" t="str">
        <f>IF(C179="Yes",1,IF(C179="No",0,"N/A"))</f>
        <v>N/A</v>
      </c>
      <c r="F179" s="247"/>
    </row>
    <row r="180" spans="1:6" ht="20.100000000000001" customHeight="1" x14ac:dyDescent="0.25">
      <c r="A180" s="206" t="s">
        <v>682</v>
      </c>
      <c r="B180" s="86" t="s">
        <v>1069</v>
      </c>
      <c r="C180" s="194"/>
      <c r="D180" s="196"/>
      <c r="E180" s="26">
        <f>IF(C180="Yes",1,0)</f>
        <v>0</v>
      </c>
      <c r="F180" s="247"/>
    </row>
    <row r="181" spans="1:6" ht="20.100000000000001" customHeight="1" x14ac:dyDescent="0.25">
      <c r="A181" s="206" t="s">
        <v>683</v>
      </c>
      <c r="B181" s="86" t="s">
        <v>1063</v>
      </c>
      <c r="C181" s="194"/>
      <c r="D181" s="196"/>
      <c r="E181" s="26" t="str">
        <f>IF(C181="Yes",1,IF(C181="No",0,"N/A"))</f>
        <v>N/A</v>
      </c>
      <c r="F181" s="247"/>
    </row>
    <row r="182" spans="1:6" s="1" customFormat="1" ht="24.9" customHeight="1" x14ac:dyDescent="0.25">
      <c r="A182" s="206"/>
      <c r="B182" s="85" t="s">
        <v>24</v>
      </c>
      <c r="C182" s="197"/>
      <c r="D182" s="371" t="s">
        <v>340</v>
      </c>
      <c r="E182" s="27"/>
      <c r="F182" s="247"/>
    </row>
    <row r="183" spans="1:6" ht="35.1" customHeight="1" x14ac:dyDescent="0.25">
      <c r="A183" s="206" t="s">
        <v>684</v>
      </c>
      <c r="B183" s="86" t="s">
        <v>1064</v>
      </c>
      <c r="C183" s="194"/>
      <c r="D183" s="196"/>
      <c r="E183" s="26" t="str">
        <f>IF(C183="Yes",1,IF(C183="No",0,"N/A"))</f>
        <v>N/A</v>
      </c>
      <c r="F183" s="247"/>
    </row>
    <row r="184" spans="1:6" ht="20.100000000000001" customHeight="1" x14ac:dyDescent="0.25">
      <c r="A184" s="206" t="s">
        <v>685</v>
      </c>
      <c r="B184" s="86" t="s">
        <v>1065</v>
      </c>
      <c r="C184" s="197"/>
      <c r="D184" s="195"/>
      <c r="E184" s="26" t="e">
        <f>VLOOKUP(D184,OPTSCORE3,2,FALSE)</f>
        <v>#N/A</v>
      </c>
      <c r="F184" s="247"/>
    </row>
    <row r="185" spans="1:6" ht="20.100000000000001" customHeight="1" x14ac:dyDescent="0.25">
      <c r="A185" s="206" t="s">
        <v>686</v>
      </c>
      <c r="B185" s="86" t="s">
        <v>1066</v>
      </c>
      <c r="C185" s="197"/>
      <c r="D185" s="195"/>
      <c r="E185" s="26" t="e">
        <f>VLOOKUP(D185,OPTSCORE3,2,FALSE)</f>
        <v>#N/A</v>
      </c>
      <c r="F185" s="247"/>
    </row>
    <row r="186" spans="1:6" ht="20.100000000000001" customHeight="1" x14ac:dyDescent="0.25">
      <c r="A186" s="206" t="s">
        <v>687</v>
      </c>
      <c r="B186" s="86" t="s">
        <v>1067</v>
      </c>
      <c r="C186" s="197"/>
      <c r="D186" s="195"/>
      <c r="E186" s="26" t="e">
        <f>VLOOKUP(D186,OPTSCORE3,2,FALSE)</f>
        <v>#N/A</v>
      </c>
      <c r="F186" s="247"/>
    </row>
    <row r="187" spans="1:6" ht="20.100000000000001" customHeight="1" x14ac:dyDescent="0.25">
      <c r="A187" s="206" t="s">
        <v>784</v>
      </c>
      <c r="B187" s="86" t="s">
        <v>1068</v>
      </c>
      <c r="C187" s="197"/>
      <c r="D187" s="195"/>
      <c r="E187" s="26">
        <f>IF(D187="Yes",1,0)</f>
        <v>0</v>
      </c>
      <c r="F187" s="247"/>
    </row>
    <row r="188" spans="1:6" ht="20.100000000000001" customHeight="1" thickBot="1" x14ac:dyDescent="0.3">
      <c r="B188" s="87"/>
      <c r="C188" s="92" t="str">
        <f>IF(PROFILE!C15+PROFILE!C16=0,E183,AVERAGE(E173:E183))</f>
        <v>N/A</v>
      </c>
      <c r="D188" s="93" t="e">
        <f>IF(PROFILE!C15+PROFILE!C16=0,AVERAGE(E184:E187),AVERAGE(E146:E170,E184:E187))</f>
        <v>#N/A</v>
      </c>
      <c r="F188" s="247"/>
    </row>
    <row r="189" spans="1:6" ht="20.100000000000001" customHeight="1" x14ac:dyDescent="0.25">
      <c r="C189" s="249"/>
      <c r="D189" s="249"/>
      <c r="E189" s="28"/>
      <c r="F189" s="247"/>
    </row>
    <row r="190" spans="1:6" ht="20.100000000000001" customHeight="1" thickBot="1" x14ac:dyDescent="0.3">
      <c r="C190" s="181"/>
      <c r="D190" s="181"/>
      <c r="F190" s="247"/>
    </row>
    <row r="191" spans="1:6" ht="50.1" customHeight="1" thickBot="1" x14ac:dyDescent="0.3">
      <c r="B191" s="453" t="s">
        <v>1374</v>
      </c>
      <c r="C191" s="454"/>
      <c r="D191" s="455"/>
      <c r="F191" s="247"/>
    </row>
    <row r="192" spans="1:6" ht="20.100000000000001" customHeight="1" x14ac:dyDescent="0.25">
      <c r="B192" s="88"/>
      <c r="C192" s="89" t="s">
        <v>0</v>
      </c>
      <c r="D192" s="90" t="s">
        <v>1</v>
      </c>
      <c r="F192" s="247"/>
    </row>
    <row r="193" spans="1:6" ht="20.100000000000001" customHeight="1" x14ac:dyDescent="0.25">
      <c r="B193" s="85" t="s">
        <v>63</v>
      </c>
      <c r="C193" s="197"/>
      <c r="D193" s="196"/>
      <c r="F193" s="247"/>
    </row>
    <row r="194" spans="1:6" ht="20.100000000000001" customHeight="1" x14ac:dyDescent="0.25">
      <c r="B194" s="220" t="s">
        <v>826</v>
      </c>
      <c r="C194" s="197"/>
      <c r="D194" s="371" t="s">
        <v>340</v>
      </c>
      <c r="F194" s="247"/>
    </row>
    <row r="195" spans="1:6" ht="20.100000000000001" customHeight="1" x14ac:dyDescent="0.25">
      <c r="A195" s="206" t="s">
        <v>586</v>
      </c>
      <c r="B195" s="86" t="s">
        <v>1070</v>
      </c>
      <c r="C195" s="194"/>
      <c r="D195" s="196"/>
      <c r="E195" s="26" t="str">
        <f>IF(C195="Yes",0,IF(C195="No",1,"N/A"))</f>
        <v>N/A</v>
      </c>
      <c r="F195" s="247"/>
    </row>
    <row r="196" spans="1:6" ht="20.100000000000001" customHeight="1" x14ac:dyDescent="0.25">
      <c r="A196" s="206" t="s">
        <v>587</v>
      </c>
      <c r="B196" s="86" t="s">
        <v>1071</v>
      </c>
      <c r="C196" s="194"/>
      <c r="D196" s="196"/>
      <c r="E196" s="26" t="str">
        <f>IF(C196="Yes",0,IF(C196="No",1,"N/A"))</f>
        <v>N/A</v>
      </c>
      <c r="F196" s="247"/>
    </row>
    <row r="197" spans="1:6" ht="35.1" customHeight="1" x14ac:dyDescent="0.25">
      <c r="A197" s="206" t="s">
        <v>588</v>
      </c>
      <c r="B197" s="97" t="s">
        <v>1072</v>
      </c>
      <c r="C197" s="194"/>
      <c r="D197" s="196"/>
      <c r="E197" s="26" t="str">
        <f>IF(C197="No",1,IF(C197="Yes",0,"N/A"))</f>
        <v>N/A</v>
      </c>
      <c r="F197" s="247"/>
    </row>
    <row r="198" spans="1:6" ht="18" customHeight="1" x14ac:dyDescent="0.25">
      <c r="B198" s="290" t="s">
        <v>791</v>
      </c>
      <c r="C198" s="197"/>
      <c r="D198" s="196"/>
      <c r="F198" s="247"/>
    </row>
    <row r="199" spans="1:6" ht="20.100000000000001" customHeight="1" x14ac:dyDescent="0.25">
      <c r="A199" s="206" t="s">
        <v>589</v>
      </c>
      <c r="B199" s="97" t="s">
        <v>64</v>
      </c>
      <c r="C199" s="194"/>
      <c r="D199" s="196"/>
      <c r="E199" s="26" t="e">
        <f>VLOOKUP(C199,OPTSCORE4,2,FALSE)</f>
        <v>#N/A</v>
      </c>
      <c r="F199" s="247"/>
    </row>
    <row r="200" spans="1:6" ht="20.100000000000001" customHeight="1" x14ac:dyDescent="0.25">
      <c r="B200" s="97" t="s">
        <v>1073</v>
      </c>
      <c r="C200" s="194"/>
      <c r="D200" s="196"/>
      <c r="E200" s="26">
        <f>IF(C200="Yes",0,1)</f>
        <v>1</v>
      </c>
      <c r="F200" s="247"/>
    </row>
    <row r="201" spans="1:6" ht="24.9" customHeight="1" x14ac:dyDescent="0.25">
      <c r="B201" s="220" t="s">
        <v>322</v>
      </c>
      <c r="C201" s="197"/>
      <c r="D201" s="371" t="s">
        <v>340</v>
      </c>
      <c r="F201" s="247"/>
    </row>
    <row r="202" spans="1:6" ht="20.100000000000001" customHeight="1" x14ac:dyDescent="0.25">
      <c r="A202" s="206" t="s">
        <v>590</v>
      </c>
      <c r="B202" s="97" t="s">
        <v>1074</v>
      </c>
      <c r="C202" s="197"/>
      <c r="D202" s="96" t="str">
        <f>IF(PROSPERITY!D16="","",PROSPERITY!D16)</f>
        <v/>
      </c>
      <c r="E202" s="26">
        <f>IF(D202="Yes",1,IF(D202="N/A","N/A",0))</f>
        <v>0</v>
      </c>
      <c r="F202" s="247"/>
    </row>
    <row r="203" spans="1:6" ht="20.100000000000001" customHeight="1" x14ac:dyDescent="0.25">
      <c r="B203" s="220" t="s">
        <v>1337</v>
      </c>
      <c r="C203" s="197"/>
      <c r="D203" s="371" t="s">
        <v>340</v>
      </c>
      <c r="F203" s="320"/>
    </row>
    <row r="204" spans="1:6" ht="20.100000000000001" customHeight="1" x14ac:dyDescent="0.25">
      <c r="B204" s="97" t="s">
        <v>1192</v>
      </c>
      <c r="C204" s="197"/>
      <c r="D204" s="195"/>
      <c r="F204" s="247"/>
    </row>
    <row r="205" spans="1:6" ht="20.100000000000001" customHeight="1" x14ac:dyDescent="0.25">
      <c r="A205" s="206" t="s">
        <v>591</v>
      </c>
      <c r="B205" s="97" t="s">
        <v>1338</v>
      </c>
      <c r="C205" s="197"/>
      <c r="D205" s="195"/>
      <c r="E205" s="26" t="e">
        <f t="shared" ref="E205:E214" si="2">IF(D$204="No", "N/A", VLOOKUP(D205,OPTSCORE3,2,FALSE))</f>
        <v>#N/A</v>
      </c>
      <c r="F205" s="247"/>
    </row>
    <row r="206" spans="1:6" ht="20.100000000000001" customHeight="1" x14ac:dyDescent="0.25">
      <c r="A206" s="206" t="s">
        <v>592</v>
      </c>
      <c r="B206" s="97" t="s">
        <v>1075</v>
      </c>
      <c r="C206" s="197"/>
      <c r="D206" s="195"/>
      <c r="E206" s="26" t="e">
        <f t="shared" si="2"/>
        <v>#N/A</v>
      </c>
      <c r="F206" s="247"/>
    </row>
    <row r="207" spans="1:6" ht="20.100000000000001" customHeight="1" x14ac:dyDescent="0.25">
      <c r="A207" s="206" t="s">
        <v>593</v>
      </c>
      <c r="B207" s="97" t="s">
        <v>1339</v>
      </c>
      <c r="C207" s="197"/>
      <c r="D207" s="195"/>
      <c r="E207" s="26" t="e">
        <f>VLOOKUP(D207,OPTSCORE3,2,FALSE)</f>
        <v>#N/A</v>
      </c>
      <c r="F207" s="247"/>
    </row>
    <row r="208" spans="1:6" ht="20.100000000000001" customHeight="1" x14ac:dyDescent="0.25">
      <c r="A208" s="206" t="s">
        <v>594</v>
      </c>
      <c r="B208" s="97" t="s">
        <v>1340</v>
      </c>
      <c r="C208" s="221"/>
      <c r="D208" s="195"/>
      <c r="E208" s="26" t="e">
        <f t="shared" si="2"/>
        <v>#N/A</v>
      </c>
      <c r="F208" s="247"/>
    </row>
    <row r="209" spans="1:6" ht="20.100000000000001" customHeight="1" x14ac:dyDescent="0.25">
      <c r="A209" s="206" t="s">
        <v>595</v>
      </c>
      <c r="B209" s="97" t="s">
        <v>1341</v>
      </c>
      <c r="C209" s="221"/>
      <c r="D209" s="195"/>
      <c r="E209" s="26" t="e">
        <f>IF(D$204="No", "N/A", VLOOKUP(D209,OPTSCORE4,2,FALSE))</f>
        <v>#N/A</v>
      </c>
      <c r="F209" s="247"/>
    </row>
    <row r="210" spans="1:6" ht="20.100000000000001" customHeight="1" x14ac:dyDescent="0.25">
      <c r="A210" s="206" t="s">
        <v>596</v>
      </c>
      <c r="B210" s="97" t="s">
        <v>1342</v>
      </c>
      <c r="C210" s="221"/>
      <c r="D210" s="195"/>
      <c r="E210" s="26" t="e">
        <f t="shared" si="2"/>
        <v>#N/A</v>
      </c>
      <c r="F210" s="247"/>
    </row>
    <row r="211" spans="1:6" ht="20.100000000000001" customHeight="1" x14ac:dyDescent="0.25">
      <c r="A211" s="206" t="s">
        <v>597</v>
      </c>
      <c r="B211" s="97" t="s">
        <v>1343</v>
      </c>
      <c r="C211" s="221"/>
      <c r="D211" s="195"/>
      <c r="E211" s="26" t="e">
        <f t="shared" si="2"/>
        <v>#N/A</v>
      </c>
      <c r="F211" s="247"/>
    </row>
    <row r="212" spans="1:6" ht="20.100000000000001" customHeight="1" x14ac:dyDescent="0.25">
      <c r="B212" s="97" t="s">
        <v>1344</v>
      </c>
      <c r="C212" s="221"/>
      <c r="D212" s="195"/>
      <c r="E212" s="26" t="e">
        <f t="shared" si="2"/>
        <v>#N/A</v>
      </c>
      <c r="F212" s="247"/>
    </row>
    <row r="213" spans="1:6" ht="20.100000000000001" customHeight="1" x14ac:dyDescent="0.25">
      <c r="A213" s="206" t="s">
        <v>598</v>
      </c>
      <c r="B213" s="97" t="s">
        <v>1345</v>
      </c>
      <c r="C213" s="221"/>
      <c r="D213" s="195"/>
      <c r="E213" s="26" t="e">
        <f t="shared" si="2"/>
        <v>#N/A</v>
      </c>
      <c r="F213" s="247"/>
    </row>
    <row r="214" spans="1:6" ht="39.9" customHeight="1" x14ac:dyDescent="0.25">
      <c r="A214" s="206" t="s">
        <v>599</v>
      </c>
      <c r="B214" s="97" t="s">
        <v>1346</v>
      </c>
      <c r="C214" s="221"/>
      <c r="D214" s="195"/>
      <c r="E214" s="26" t="e">
        <f t="shared" si="2"/>
        <v>#N/A</v>
      </c>
      <c r="F214" s="247"/>
    </row>
    <row r="215" spans="1:6" s="1" customFormat="1" ht="35.1" customHeight="1" x14ac:dyDescent="0.25">
      <c r="A215" s="206"/>
      <c r="B215" s="220" t="s">
        <v>6</v>
      </c>
      <c r="C215" s="221"/>
      <c r="D215" s="371" t="s">
        <v>340</v>
      </c>
      <c r="E215" s="27"/>
      <c r="F215" s="247"/>
    </row>
    <row r="216" spans="1:6" s="1" customFormat="1" ht="20.100000000000001" customHeight="1" x14ac:dyDescent="0.25">
      <c r="A216" s="206"/>
      <c r="B216" s="220" t="s">
        <v>861</v>
      </c>
      <c r="C216" s="221"/>
      <c r="D216" s="195"/>
      <c r="E216" s="27"/>
      <c r="F216" s="247"/>
    </row>
    <row r="217" spans="1:6" ht="20.100000000000001" customHeight="1" x14ac:dyDescent="0.25">
      <c r="A217" s="206" t="s">
        <v>600</v>
      </c>
      <c r="B217" s="97" t="s">
        <v>1076</v>
      </c>
      <c r="C217" s="221"/>
      <c r="D217" s="195"/>
      <c r="E217" s="26" t="e">
        <f>IF(D$216="No", "N/A", VLOOKUP(D217,OPTSCORE3,2,FALSE))</f>
        <v>#N/A</v>
      </c>
      <c r="F217" s="247"/>
    </row>
    <row r="218" spans="1:6" ht="39.9" customHeight="1" x14ac:dyDescent="0.25">
      <c r="A218" s="206" t="s">
        <v>601</v>
      </c>
      <c r="B218" s="97" t="s">
        <v>1077</v>
      </c>
      <c r="C218" s="221"/>
      <c r="D218" s="195"/>
      <c r="E218" s="26" t="e">
        <f>IF(D$216="No", "N/A", VLOOKUP(D218,OPTSCORE3,2,FALSE))</f>
        <v>#N/A</v>
      </c>
      <c r="F218" s="247"/>
    </row>
    <row r="219" spans="1:6" ht="20.100000000000001" customHeight="1" x14ac:dyDescent="0.25">
      <c r="A219" s="206" t="s">
        <v>602</v>
      </c>
      <c r="B219" s="97" t="s">
        <v>1078</v>
      </c>
      <c r="C219" s="221"/>
      <c r="D219" s="195"/>
      <c r="E219" s="26" t="e">
        <f>IF(D$216="No", "N/A", VLOOKUP(D219,OPTSCORE3,2,FALSE))</f>
        <v>#N/A</v>
      </c>
      <c r="F219" s="247"/>
    </row>
    <row r="220" spans="1:6" ht="20.100000000000001" customHeight="1" x14ac:dyDescent="0.25">
      <c r="A220" s="206" t="s">
        <v>603</v>
      </c>
      <c r="B220" s="97" t="s">
        <v>1079</v>
      </c>
      <c r="C220" s="221"/>
      <c r="D220" s="195"/>
      <c r="E220" s="26" t="e">
        <f>IF(D$216="No", "N/A", VLOOKUP(D220,OPTSCORE3,2,FALSE))</f>
        <v>#N/A</v>
      </c>
      <c r="F220" s="247"/>
    </row>
    <row r="221" spans="1:6" ht="20.100000000000001" customHeight="1" x14ac:dyDescent="0.25">
      <c r="A221" s="206" t="s">
        <v>604</v>
      </c>
      <c r="B221" s="97" t="s">
        <v>1080</v>
      </c>
      <c r="C221" s="221"/>
      <c r="D221" s="195"/>
      <c r="E221" s="26" t="e">
        <f>IF(D$216="No", "N/A", VLOOKUP(D221,OPTSCORE3,2,FALSE))</f>
        <v>#N/A</v>
      </c>
      <c r="F221" s="247"/>
    </row>
    <row r="222" spans="1:6" ht="39.9" customHeight="1" x14ac:dyDescent="0.25">
      <c r="A222" s="206" t="s">
        <v>605</v>
      </c>
      <c r="B222" s="97" t="s">
        <v>1212</v>
      </c>
      <c r="C222" s="221"/>
      <c r="D222" s="195"/>
      <c r="E222" s="26" t="e">
        <f>IF(D$216="No", "N/A", VLOOKUP(D222,OPTSCORE4,2,FALSE))</f>
        <v>#N/A</v>
      </c>
      <c r="F222" s="247"/>
    </row>
    <row r="223" spans="1:6" ht="20.100000000000001" customHeight="1" x14ac:dyDescent="0.25">
      <c r="A223" s="206" t="s">
        <v>606</v>
      </c>
      <c r="B223" s="97" t="s">
        <v>1081</v>
      </c>
      <c r="C223" s="221"/>
      <c r="D223" s="195"/>
      <c r="E223" s="26" t="e">
        <f>IF(D$216="No", "N/A", VLOOKUP(D223,OPTSCORE3,2,FALSE))</f>
        <v>#N/A</v>
      </c>
      <c r="F223" s="247"/>
    </row>
    <row r="224" spans="1:6" ht="20.100000000000001" customHeight="1" x14ac:dyDescent="0.25">
      <c r="A224" s="206" t="s">
        <v>607</v>
      </c>
      <c r="B224" s="97" t="s">
        <v>1082</v>
      </c>
      <c r="C224" s="221"/>
      <c r="D224" s="195"/>
      <c r="E224" s="26">
        <f>IF(D216="No","N/A",IF(D224="Yes",1,0))</f>
        <v>0</v>
      </c>
      <c r="F224" s="247"/>
    </row>
    <row r="225" spans="1:6" ht="20.100000000000001" customHeight="1" x14ac:dyDescent="0.25">
      <c r="A225" s="206" t="s">
        <v>608</v>
      </c>
      <c r="B225" s="97" t="s">
        <v>1083</v>
      </c>
      <c r="C225" s="221"/>
      <c r="D225" s="222"/>
      <c r="E225" s="26">
        <f>IF(D216="No", "N/A",IF(D225="Yes",0,1))</f>
        <v>1</v>
      </c>
      <c r="F225" s="247"/>
    </row>
    <row r="226" spans="1:6" ht="20.100000000000001" customHeight="1" x14ac:dyDescent="0.25">
      <c r="A226" s="206" t="s">
        <v>609</v>
      </c>
      <c r="B226" s="97" t="s">
        <v>1084</v>
      </c>
      <c r="C226" s="221"/>
      <c r="D226" s="195"/>
      <c r="E226" s="26" t="e">
        <f>IF(D$216="No", "N/A", VLOOKUP(D226,OPTSCORE3,2,FALSE))</f>
        <v>#N/A</v>
      </c>
      <c r="F226" s="247"/>
    </row>
    <row r="227" spans="1:6" ht="20.100000000000001" customHeight="1" thickBot="1" x14ac:dyDescent="0.3">
      <c r="B227" s="223"/>
      <c r="C227" s="224" t="e">
        <f>AVERAGE(E195:E200)</f>
        <v>#N/A</v>
      </c>
      <c r="D227" s="225" t="e">
        <f>AVERAGE(E202:E226)</f>
        <v>#N/A</v>
      </c>
      <c r="F227" s="247"/>
    </row>
    <row r="228" spans="1:6" ht="20.100000000000001" customHeight="1" thickBot="1" x14ac:dyDescent="0.3">
      <c r="B228" s="226"/>
      <c r="C228" s="227"/>
      <c r="D228" s="227"/>
      <c r="F228" s="247"/>
    </row>
    <row r="229" spans="1:6" ht="50.1" customHeight="1" thickBot="1" x14ac:dyDescent="0.3">
      <c r="B229" s="453" t="s">
        <v>1375</v>
      </c>
      <c r="C229" s="454"/>
      <c r="D229" s="455"/>
      <c r="F229" s="247"/>
    </row>
    <row r="230" spans="1:6" ht="20.100000000000001" customHeight="1" x14ac:dyDescent="0.25">
      <c r="B230" s="88"/>
      <c r="C230" s="89" t="s">
        <v>0</v>
      </c>
      <c r="D230" s="90" t="s">
        <v>1</v>
      </c>
      <c r="F230" s="247"/>
    </row>
    <row r="231" spans="1:6" s="1" customFormat="1" ht="24.9" customHeight="1" x14ac:dyDescent="0.25">
      <c r="A231" s="206"/>
      <c r="B231" s="85" t="s">
        <v>7</v>
      </c>
      <c r="C231" s="197"/>
      <c r="D231" s="371" t="s">
        <v>340</v>
      </c>
      <c r="E231" s="27"/>
      <c r="F231" s="247"/>
    </row>
    <row r="232" spans="1:6" ht="20.100000000000001" customHeight="1" x14ac:dyDescent="0.25">
      <c r="A232" s="206" t="s">
        <v>610</v>
      </c>
      <c r="B232" s="86" t="s">
        <v>1085</v>
      </c>
      <c r="C232" s="197"/>
      <c r="D232" s="96" t="str">
        <f>IF(PROSPERITY!C8="","",PROSPERITY!C8)</f>
        <v/>
      </c>
      <c r="E232" s="26">
        <f>IF(D232="Yes",1,IF(D232="N/A","N/A",0))</f>
        <v>0</v>
      </c>
      <c r="F232" s="247"/>
    </row>
    <row r="233" spans="1:6" ht="20.100000000000001" customHeight="1" x14ac:dyDescent="0.25">
      <c r="A233" s="206" t="s">
        <v>611</v>
      </c>
      <c r="B233" s="86" t="s">
        <v>1086</v>
      </c>
      <c r="C233" s="197"/>
      <c r="D233" s="96" t="str">
        <f>IF(PROSPERITY!C9="","",PROSPERITY!C9)</f>
        <v/>
      </c>
      <c r="E233" s="26">
        <f>IF(D233="Yes",1,IF(D233="N/A","N/A",0))</f>
        <v>0</v>
      </c>
      <c r="F233" s="247"/>
    </row>
    <row r="234" spans="1:6" ht="20.100000000000001" customHeight="1" x14ac:dyDescent="0.25">
      <c r="A234" s="206" t="s">
        <v>612</v>
      </c>
      <c r="B234" s="86" t="s">
        <v>1087</v>
      </c>
      <c r="C234" s="197"/>
      <c r="D234" s="195"/>
      <c r="E234" s="26" t="e">
        <f t="shared" ref="E234:E245" si="3">VLOOKUP(D234,OPTSCORE4,2,FALSE)</f>
        <v>#N/A</v>
      </c>
      <c r="F234" s="247"/>
    </row>
    <row r="235" spans="1:6" ht="20.100000000000001" customHeight="1" x14ac:dyDescent="0.25">
      <c r="A235" s="206" t="s">
        <v>613</v>
      </c>
      <c r="B235" s="86" t="s">
        <v>1088</v>
      </c>
      <c r="C235" s="197"/>
      <c r="D235" s="195"/>
      <c r="E235" s="26" t="e">
        <f t="shared" si="3"/>
        <v>#N/A</v>
      </c>
      <c r="F235" s="247"/>
    </row>
    <row r="236" spans="1:6" ht="20.100000000000001" customHeight="1" x14ac:dyDescent="0.25">
      <c r="A236" s="206" t="s">
        <v>614</v>
      </c>
      <c r="B236" s="86" t="s">
        <v>1089</v>
      </c>
      <c r="C236" s="197"/>
      <c r="D236" s="195"/>
      <c r="E236" s="26" t="e">
        <f t="shared" si="3"/>
        <v>#N/A</v>
      </c>
      <c r="F236" s="247"/>
    </row>
    <row r="237" spans="1:6" ht="20.100000000000001" customHeight="1" x14ac:dyDescent="0.25">
      <c r="A237" s="206" t="s">
        <v>619</v>
      </c>
      <c r="B237" s="97" t="s">
        <v>1090</v>
      </c>
      <c r="C237" s="221"/>
      <c r="D237" s="195"/>
      <c r="E237" s="26" t="e">
        <f t="shared" si="3"/>
        <v>#N/A</v>
      </c>
      <c r="F237" s="247"/>
    </row>
    <row r="238" spans="1:6" ht="20.100000000000001" customHeight="1" x14ac:dyDescent="0.25">
      <c r="A238" s="206" t="s">
        <v>615</v>
      </c>
      <c r="B238" s="97" t="s">
        <v>1091</v>
      </c>
      <c r="C238" s="221"/>
      <c r="D238" s="195"/>
      <c r="E238" s="26" t="e">
        <f t="shared" si="3"/>
        <v>#N/A</v>
      </c>
      <c r="F238" s="247"/>
    </row>
    <row r="239" spans="1:6" ht="35.1" customHeight="1" x14ac:dyDescent="0.25">
      <c r="A239" s="206" t="s">
        <v>616</v>
      </c>
      <c r="B239" s="97" t="s">
        <v>1092</v>
      </c>
      <c r="C239" s="221"/>
      <c r="D239" s="195"/>
      <c r="E239" s="26" t="e">
        <f t="shared" si="3"/>
        <v>#N/A</v>
      </c>
      <c r="F239" s="247"/>
    </row>
    <row r="240" spans="1:6" ht="20.100000000000001" customHeight="1" x14ac:dyDescent="0.25">
      <c r="A240" s="206" t="s">
        <v>617</v>
      </c>
      <c r="B240" s="97" t="s">
        <v>1093</v>
      </c>
      <c r="C240" s="221"/>
      <c r="D240" s="195"/>
      <c r="E240" s="26" t="e">
        <f t="shared" si="3"/>
        <v>#N/A</v>
      </c>
      <c r="F240" s="247"/>
    </row>
    <row r="241" spans="1:6" ht="20.100000000000001" customHeight="1" x14ac:dyDescent="0.25">
      <c r="A241" s="206" t="s">
        <v>618</v>
      </c>
      <c r="B241" s="97" t="s">
        <v>1094</v>
      </c>
      <c r="C241" s="221"/>
      <c r="D241" s="195"/>
      <c r="E241" s="26" t="e">
        <f t="shared" si="3"/>
        <v>#N/A</v>
      </c>
      <c r="F241" s="247"/>
    </row>
    <row r="242" spans="1:6" ht="20.100000000000001" customHeight="1" x14ac:dyDescent="0.25">
      <c r="A242" s="206" t="s">
        <v>620</v>
      </c>
      <c r="B242" s="97" t="s">
        <v>1095</v>
      </c>
      <c r="C242" s="221"/>
      <c r="D242" s="195"/>
      <c r="E242" s="26" t="e">
        <f t="shared" si="3"/>
        <v>#N/A</v>
      </c>
      <c r="F242" s="247"/>
    </row>
    <row r="243" spans="1:6" ht="39.9" customHeight="1" x14ac:dyDescent="0.25">
      <c r="A243" s="206" t="s">
        <v>621</v>
      </c>
      <c r="B243" s="97" t="s">
        <v>1096</v>
      </c>
      <c r="C243" s="221"/>
      <c r="D243" s="195"/>
      <c r="E243" s="26" t="e">
        <f t="shared" si="3"/>
        <v>#N/A</v>
      </c>
      <c r="F243" s="247"/>
    </row>
    <row r="244" spans="1:6" ht="20.100000000000001" customHeight="1" x14ac:dyDescent="0.25">
      <c r="A244" s="206" t="s">
        <v>622</v>
      </c>
      <c r="B244" s="97" t="s">
        <v>1097</v>
      </c>
      <c r="C244" s="221"/>
      <c r="D244" s="195"/>
      <c r="E244" s="26" t="e">
        <f t="shared" si="3"/>
        <v>#N/A</v>
      </c>
      <c r="F244" s="247"/>
    </row>
    <row r="245" spans="1:6" ht="20.100000000000001" customHeight="1" x14ac:dyDescent="0.25">
      <c r="A245" s="206" t="s">
        <v>623</v>
      </c>
      <c r="B245" s="97" t="s">
        <v>1098</v>
      </c>
      <c r="C245" s="221"/>
      <c r="D245" s="195"/>
      <c r="E245" s="26" t="e">
        <f t="shared" si="3"/>
        <v>#N/A</v>
      </c>
      <c r="F245" s="370"/>
    </row>
    <row r="246" spans="1:6" ht="24.9" customHeight="1" x14ac:dyDescent="0.25">
      <c r="B246" s="220" t="s">
        <v>8</v>
      </c>
      <c r="C246" s="221"/>
      <c r="D246" s="371" t="s">
        <v>340</v>
      </c>
      <c r="F246" s="247"/>
    </row>
    <row r="247" spans="1:6" ht="20.100000000000001" customHeight="1" x14ac:dyDescent="0.25">
      <c r="A247" s="206" t="s">
        <v>624</v>
      </c>
      <c r="B247" s="97" t="s">
        <v>1099</v>
      </c>
      <c r="C247" s="228"/>
      <c r="D247" s="229"/>
      <c r="E247" s="26" t="str">
        <f>IF(C247="Yes",1,IF(C247="No",0,"N/A"))</f>
        <v>N/A</v>
      </c>
      <c r="F247" s="247"/>
    </row>
    <row r="248" spans="1:6" ht="20.100000000000001" customHeight="1" x14ac:dyDescent="0.25">
      <c r="A248" s="206" t="s">
        <v>625</v>
      </c>
      <c r="B248" s="97" t="s">
        <v>1100</v>
      </c>
      <c r="C248" s="221"/>
      <c r="D248" s="195"/>
      <c r="E248" s="26" t="e">
        <f t="shared" ref="E248:E264" si="4">VLOOKUP(D248,OPTSCORE4,2,FALSE)</f>
        <v>#N/A</v>
      </c>
      <c r="F248" s="247"/>
    </row>
    <row r="249" spans="1:6" ht="20.100000000000001" customHeight="1" x14ac:dyDescent="0.25">
      <c r="A249" s="206" t="s">
        <v>626</v>
      </c>
      <c r="B249" s="97" t="s">
        <v>1385</v>
      </c>
      <c r="C249" s="221"/>
      <c r="D249" s="195"/>
      <c r="E249" s="26" t="e">
        <f t="shared" si="4"/>
        <v>#N/A</v>
      </c>
      <c r="F249" s="247"/>
    </row>
    <row r="250" spans="1:6" ht="24.9" customHeight="1" x14ac:dyDescent="0.25">
      <c r="B250" s="220" t="s">
        <v>9</v>
      </c>
      <c r="C250" s="221"/>
      <c r="D250" s="371" t="s">
        <v>340</v>
      </c>
      <c r="F250" s="247"/>
    </row>
    <row r="251" spans="1:6" ht="24.9" customHeight="1" x14ac:dyDescent="0.25">
      <c r="B251" s="97" t="s">
        <v>1101</v>
      </c>
      <c r="C251" s="221"/>
      <c r="D251" s="195"/>
      <c r="E251" s="26" t="e">
        <f t="shared" si="4"/>
        <v>#N/A</v>
      </c>
      <c r="F251" s="247"/>
    </row>
    <row r="252" spans="1:6" ht="20.100000000000001" customHeight="1" x14ac:dyDescent="0.25">
      <c r="A252" s="206" t="s">
        <v>627</v>
      </c>
      <c r="B252" s="97" t="s">
        <v>1102</v>
      </c>
      <c r="C252" s="221"/>
      <c r="D252" s="195"/>
      <c r="E252" s="26" t="e">
        <f t="shared" si="4"/>
        <v>#N/A</v>
      </c>
      <c r="F252" s="247"/>
    </row>
    <row r="253" spans="1:6" ht="20.100000000000001" customHeight="1" x14ac:dyDescent="0.25">
      <c r="A253" s="206" t="s">
        <v>628</v>
      </c>
      <c r="B253" s="97" t="s">
        <v>1103</v>
      </c>
      <c r="C253" s="221"/>
      <c r="D253" s="195"/>
      <c r="E253" s="26" t="e">
        <f t="shared" si="4"/>
        <v>#N/A</v>
      </c>
      <c r="F253" s="247"/>
    </row>
    <row r="254" spans="1:6" ht="20.100000000000001" customHeight="1" x14ac:dyDescent="0.25">
      <c r="A254" s="206" t="s">
        <v>629</v>
      </c>
      <c r="B254" s="97" t="s">
        <v>1104</v>
      </c>
      <c r="C254" s="221"/>
      <c r="D254" s="195"/>
      <c r="E254" s="26" t="e">
        <f t="shared" si="4"/>
        <v>#N/A</v>
      </c>
      <c r="F254" s="247"/>
    </row>
    <row r="255" spans="1:6" ht="20.100000000000001" customHeight="1" x14ac:dyDescent="0.25">
      <c r="A255" s="206" t="s">
        <v>630</v>
      </c>
      <c r="B255" s="97" t="s">
        <v>1105</v>
      </c>
      <c r="C255" s="221"/>
      <c r="D255" s="195"/>
      <c r="E255" s="26" t="e">
        <f t="shared" si="4"/>
        <v>#N/A</v>
      </c>
      <c r="F255" s="247"/>
    </row>
    <row r="256" spans="1:6" ht="20.100000000000001" customHeight="1" x14ac:dyDescent="0.25">
      <c r="A256" s="206" t="s">
        <v>631</v>
      </c>
      <c r="B256" s="97" t="s">
        <v>1106</v>
      </c>
      <c r="C256" s="221"/>
      <c r="D256" s="195"/>
      <c r="E256" s="26" t="e">
        <f t="shared" si="4"/>
        <v>#N/A</v>
      </c>
      <c r="F256" s="247"/>
    </row>
    <row r="257" spans="1:6" ht="20.100000000000001" customHeight="1" x14ac:dyDescent="0.25">
      <c r="A257" s="206" t="s">
        <v>632</v>
      </c>
      <c r="B257" s="97" t="s">
        <v>1107</v>
      </c>
      <c r="C257" s="221"/>
      <c r="D257" s="195"/>
      <c r="E257" s="26" t="e">
        <f t="shared" si="4"/>
        <v>#N/A</v>
      </c>
      <c r="F257" s="247"/>
    </row>
    <row r="258" spans="1:6" ht="35.1" customHeight="1" x14ac:dyDescent="0.25">
      <c r="B258" s="220" t="s">
        <v>25</v>
      </c>
      <c r="C258" s="221"/>
      <c r="D258" s="371" t="s">
        <v>340</v>
      </c>
      <c r="F258" s="247"/>
    </row>
    <row r="259" spans="1:6" ht="20.100000000000001" customHeight="1" x14ac:dyDescent="0.25">
      <c r="A259" s="206" t="s">
        <v>632</v>
      </c>
      <c r="B259" s="97" t="s">
        <v>1108</v>
      </c>
      <c r="C259" s="221"/>
      <c r="D259" s="195"/>
      <c r="E259" s="26" t="e">
        <f t="shared" si="4"/>
        <v>#N/A</v>
      </c>
      <c r="F259" s="247"/>
    </row>
    <row r="260" spans="1:6" ht="20.100000000000001" customHeight="1" x14ac:dyDescent="0.25">
      <c r="A260" s="206" t="s">
        <v>633</v>
      </c>
      <c r="B260" s="97" t="s">
        <v>1109</v>
      </c>
      <c r="C260" s="221"/>
      <c r="D260" s="195"/>
      <c r="E260" s="26" t="e">
        <f t="shared" si="4"/>
        <v>#N/A</v>
      </c>
      <c r="F260" s="247"/>
    </row>
    <row r="261" spans="1:6" ht="20.100000000000001" customHeight="1" x14ac:dyDescent="0.25">
      <c r="A261" s="206" t="s">
        <v>634</v>
      </c>
      <c r="B261" s="97" t="s">
        <v>1110</v>
      </c>
      <c r="C261" s="221"/>
      <c r="D261" s="195"/>
      <c r="E261" s="26" t="e">
        <f t="shared" si="4"/>
        <v>#N/A</v>
      </c>
      <c r="F261" s="247"/>
    </row>
    <row r="262" spans="1:6" ht="24.9" customHeight="1" x14ac:dyDescent="0.25">
      <c r="B262" s="220" t="s">
        <v>10</v>
      </c>
      <c r="C262" s="221"/>
      <c r="D262" s="371" t="s">
        <v>340</v>
      </c>
      <c r="F262" s="247"/>
    </row>
    <row r="263" spans="1:6" ht="20.100000000000001" customHeight="1" x14ac:dyDescent="0.25">
      <c r="A263" s="206" t="s">
        <v>635</v>
      </c>
      <c r="B263" s="97" t="s">
        <v>1111</v>
      </c>
      <c r="C263" s="221"/>
      <c r="D263" s="195"/>
      <c r="E263" s="26" t="e">
        <f t="shared" si="4"/>
        <v>#N/A</v>
      </c>
      <c r="F263" s="247"/>
    </row>
    <row r="264" spans="1:6" ht="20.100000000000001" customHeight="1" x14ac:dyDescent="0.25">
      <c r="A264" s="206" t="s">
        <v>636</v>
      </c>
      <c r="B264" s="97" t="s">
        <v>1112</v>
      </c>
      <c r="C264" s="221"/>
      <c r="D264" s="195"/>
      <c r="E264" s="26" t="e">
        <f t="shared" si="4"/>
        <v>#N/A</v>
      </c>
      <c r="F264" s="247"/>
    </row>
    <row r="265" spans="1:6" ht="20.100000000000001" customHeight="1" thickBot="1" x14ac:dyDescent="0.3">
      <c r="B265" s="223"/>
      <c r="C265" s="224" t="str">
        <f>E247</f>
        <v>N/A</v>
      </c>
      <c r="D265" s="225" t="str">
        <f>IFERROR(AVERAGE(E232:E245,E248:E264),"N/A")</f>
        <v>N/A</v>
      </c>
      <c r="F265" s="247"/>
    </row>
    <row r="266" spans="1:6" ht="20.100000000000001" customHeight="1" thickBot="1" x14ac:dyDescent="0.3">
      <c r="B266" s="226"/>
      <c r="C266" s="227"/>
      <c r="D266" s="227"/>
      <c r="F266" s="247"/>
    </row>
    <row r="267" spans="1:6" ht="50.1" customHeight="1" thickBot="1" x14ac:dyDescent="0.3">
      <c r="B267" s="453" t="s">
        <v>1376</v>
      </c>
      <c r="C267" s="454"/>
      <c r="D267" s="455"/>
      <c r="F267" s="247"/>
    </row>
    <row r="268" spans="1:6" ht="20.100000000000001" customHeight="1" x14ac:dyDescent="0.25">
      <c r="B268" s="230"/>
      <c r="C268" s="348" t="s">
        <v>0</v>
      </c>
      <c r="D268" s="349" t="s">
        <v>1</v>
      </c>
      <c r="F268" s="247"/>
    </row>
    <row r="269" spans="1:6" s="1" customFormat="1" ht="24.9" customHeight="1" x14ac:dyDescent="0.25">
      <c r="A269" s="206"/>
      <c r="B269" s="220" t="s">
        <v>11</v>
      </c>
      <c r="C269" s="221"/>
      <c r="D269" s="371" t="s">
        <v>340</v>
      </c>
      <c r="E269" s="27"/>
      <c r="F269" s="247"/>
    </row>
    <row r="270" spans="1:6" s="1" customFormat="1" ht="20.100000000000001" customHeight="1" x14ac:dyDescent="0.25">
      <c r="A270" s="206" t="s">
        <v>637</v>
      </c>
      <c r="B270" s="97" t="s">
        <v>176</v>
      </c>
      <c r="C270" s="221"/>
      <c r="D270" s="195"/>
      <c r="E270" s="26">
        <f>D270</f>
        <v>0</v>
      </c>
      <c r="F270" s="247"/>
    </row>
    <row r="271" spans="1:6" ht="60" customHeight="1" x14ac:dyDescent="0.25">
      <c r="A271" s="206" t="s">
        <v>638</v>
      </c>
      <c r="B271" s="97" t="s">
        <v>1113</v>
      </c>
      <c r="C271" s="221"/>
      <c r="D271" s="195"/>
      <c r="E271" s="26" t="e">
        <f t="shared" ref="E271:E290" si="5">VLOOKUP(D271,OPTSCORE4,2,FALSE)</f>
        <v>#N/A</v>
      </c>
      <c r="F271" s="247"/>
    </row>
    <row r="272" spans="1:6" ht="20.100000000000001" customHeight="1" x14ac:dyDescent="0.25">
      <c r="A272" s="206" t="s">
        <v>639</v>
      </c>
      <c r="B272" s="97" t="s">
        <v>1114</v>
      </c>
      <c r="C272" s="221"/>
      <c r="D272" s="195"/>
      <c r="E272" s="26" t="e">
        <f t="shared" si="5"/>
        <v>#N/A</v>
      </c>
      <c r="F272" s="247"/>
    </row>
    <row r="273" spans="1:6" ht="20.100000000000001" customHeight="1" x14ac:dyDescent="0.25">
      <c r="B273" s="220" t="s">
        <v>792</v>
      </c>
      <c r="C273" s="221"/>
      <c r="D273" s="221"/>
      <c r="F273" s="247"/>
    </row>
    <row r="274" spans="1:6" ht="20.100000000000001" customHeight="1" x14ac:dyDescent="0.25">
      <c r="B274" s="97" t="s">
        <v>1386</v>
      </c>
      <c r="C274" s="221"/>
      <c r="D274" s="195"/>
      <c r="F274" s="247"/>
    </row>
    <row r="275" spans="1:6" ht="20.100000000000001" customHeight="1" x14ac:dyDescent="0.25">
      <c r="B275" s="97" t="s">
        <v>1115</v>
      </c>
      <c r="C275" s="221"/>
      <c r="D275" s="195"/>
      <c r="E275" s="26" t="e">
        <f>IF(D274="No","N/A", VLOOKUP(D275,OPTSCORE4,2,FALSE))</f>
        <v>#N/A</v>
      </c>
      <c r="F275" s="247"/>
    </row>
    <row r="276" spans="1:6" ht="39.9" customHeight="1" x14ac:dyDescent="0.25">
      <c r="B276" s="97" t="s">
        <v>1116</v>
      </c>
      <c r="C276" s="221"/>
      <c r="D276" s="195"/>
      <c r="E276" s="26" t="e">
        <f>IF(D274="No","N/A", VLOOKUP(D276,OPTSCORE4,2,FALSE))</f>
        <v>#N/A</v>
      </c>
      <c r="F276" s="247"/>
    </row>
    <row r="277" spans="1:6" ht="20.100000000000001" customHeight="1" x14ac:dyDescent="0.25">
      <c r="B277" s="97" t="s">
        <v>1347</v>
      </c>
      <c r="C277" s="221"/>
      <c r="D277" s="195"/>
      <c r="E277" s="26" t="e">
        <f>IF(D274="No","N/A", VLOOKUP(D277,OPTSCORE4,2,FALSE))</f>
        <v>#N/A</v>
      </c>
      <c r="F277" s="247"/>
    </row>
    <row r="278" spans="1:6" ht="20.100000000000001" customHeight="1" x14ac:dyDescent="0.25">
      <c r="A278" s="206" t="s">
        <v>640</v>
      </c>
      <c r="B278" s="97" t="s">
        <v>1348</v>
      </c>
      <c r="C278" s="221"/>
      <c r="D278" s="195"/>
      <c r="E278" s="26" t="e">
        <f>IF(D274="No","N/A", VLOOKUP(D278,OPTSCORE4,2,FALSE))</f>
        <v>#N/A</v>
      </c>
      <c r="F278" s="247"/>
    </row>
    <row r="279" spans="1:6" s="1" customFormat="1" ht="24.9" customHeight="1" x14ac:dyDescent="0.25">
      <c r="A279" s="206"/>
      <c r="B279" s="220" t="s">
        <v>12</v>
      </c>
      <c r="C279" s="221"/>
      <c r="D279" s="371" t="s">
        <v>340</v>
      </c>
      <c r="E279" s="26"/>
      <c r="F279" s="247"/>
    </row>
    <row r="280" spans="1:6" ht="20.100000000000001" customHeight="1" x14ac:dyDescent="0.25">
      <c r="A280" s="206" t="s">
        <v>641</v>
      </c>
      <c r="B280" s="97" t="s">
        <v>1117</v>
      </c>
      <c r="C280" s="221"/>
      <c r="D280" s="195"/>
      <c r="E280" s="26" t="e">
        <f t="shared" si="5"/>
        <v>#N/A</v>
      </c>
      <c r="F280" s="247"/>
    </row>
    <row r="281" spans="1:6" ht="39.9" customHeight="1" x14ac:dyDescent="0.25">
      <c r="A281" s="206" t="s">
        <v>642</v>
      </c>
      <c r="B281" s="97" t="s">
        <v>1226</v>
      </c>
      <c r="C281" s="221"/>
      <c r="D281" s="195"/>
      <c r="E281" s="26" t="e">
        <f t="shared" si="5"/>
        <v>#N/A</v>
      </c>
      <c r="F281" s="247"/>
    </row>
    <row r="282" spans="1:6" ht="39.9" customHeight="1" x14ac:dyDescent="0.25">
      <c r="A282" s="206" t="s">
        <v>643</v>
      </c>
      <c r="B282" s="97" t="s">
        <v>1349</v>
      </c>
      <c r="C282" s="221"/>
      <c r="D282" s="195"/>
      <c r="E282" s="26" t="e">
        <f t="shared" si="5"/>
        <v>#N/A</v>
      </c>
      <c r="F282" s="247"/>
    </row>
    <row r="283" spans="1:6" ht="20.100000000000001" customHeight="1" x14ac:dyDescent="0.25">
      <c r="A283" s="206" t="s">
        <v>644</v>
      </c>
      <c r="B283" s="97" t="s">
        <v>1118</v>
      </c>
      <c r="C283" s="221"/>
      <c r="D283" s="195"/>
      <c r="E283" s="26" t="e">
        <f t="shared" si="5"/>
        <v>#N/A</v>
      </c>
      <c r="F283" s="247"/>
    </row>
    <row r="284" spans="1:6" s="1" customFormat="1" ht="24.9" customHeight="1" x14ac:dyDescent="0.25">
      <c r="A284" s="206"/>
      <c r="B284" s="220" t="s">
        <v>177</v>
      </c>
      <c r="C284" s="221"/>
      <c r="D284" s="371" t="s">
        <v>340</v>
      </c>
      <c r="E284" s="26"/>
      <c r="F284" s="247"/>
    </row>
    <row r="285" spans="1:6" ht="20.100000000000001" customHeight="1" x14ac:dyDescent="0.25">
      <c r="A285" s="206" t="s">
        <v>645</v>
      </c>
      <c r="B285" s="97" t="s">
        <v>1119</v>
      </c>
      <c r="C285" s="221"/>
      <c r="D285" s="195"/>
      <c r="E285" s="26" t="e">
        <f t="shared" si="5"/>
        <v>#N/A</v>
      </c>
      <c r="F285" s="247"/>
    </row>
    <row r="286" spans="1:6" ht="20.100000000000001" customHeight="1" x14ac:dyDescent="0.25">
      <c r="A286" s="206" t="s">
        <v>646</v>
      </c>
      <c r="B286" s="97" t="s">
        <v>1120</v>
      </c>
      <c r="C286" s="221"/>
      <c r="D286" s="195"/>
      <c r="E286" s="26" t="e">
        <f t="shared" si="5"/>
        <v>#N/A</v>
      </c>
      <c r="F286" s="247"/>
    </row>
    <row r="287" spans="1:6" ht="20.100000000000001" customHeight="1" x14ac:dyDescent="0.25">
      <c r="A287" s="206" t="s">
        <v>647</v>
      </c>
      <c r="B287" s="97" t="s">
        <v>1121</v>
      </c>
      <c r="C287" s="221"/>
      <c r="D287" s="195"/>
      <c r="E287" s="26" t="e">
        <f t="shared" si="5"/>
        <v>#N/A</v>
      </c>
      <c r="F287" s="247"/>
    </row>
    <row r="288" spans="1:6" ht="20.100000000000001" customHeight="1" x14ac:dyDescent="0.25">
      <c r="A288" s="206" t="s">
        <v>648</v>
      </c>
      <c r="B288" s="226" t="s">
        <v>1122</v>
      </c>
      <c r="C288" s="221"/>
      <c r="D288" s="195"/>
      <c r="E288" s="26" t="e">
        <f t="shared" si="5"/>
        <v>#N/A</v>
      </c>
      <c r="F288" s="247"/>
    </row>
    <row r="289" spans="1:8" ht="20.100000000000001" customHeight="1" x14ac:dyDescent="0.25">
      <c r="A289" s="206" t="s">
        <v>649</v>
      </c>
      <c r="B289" s="97" t="s">
        <v>1123</v>
      </c>
      <c r="C289" s="221"/>
      <c r="D289" s="195"/>
      <c r="E289" s="26" t="e">
        <f t="shared" si="5"/>
        <v>#N/A</v>
      </c>
      <c r="F289" s="247"/>
    </row>
    <row r="290" spans="1:8" ht="20.100000000000001" customHeight="1" x14ac:dyDescent="0.25">
      <c r="A290" s="206" t="s">
        <v>650</v>
      </c>
      <c r="B290" s="97" t="s">
        <v>793</v>
      </c>
      <c r="C290" s="221"/>
      <c r="D290" s="195"/>
      <c r="E290" s="26" t="e">
        <f t="shared" si="5"/>
        <v>#N/A</v>
      </c>
      <c r="F290" s="247"/>
    </row>
    <row r="291" spans="1:8" s="1" customFormat="1" ht="39.9" customHeight="1" x14ac:dyDescent="0.25">
      <c r="A291" s="206"/>
      <c r="B291" s="220" t="s">
        <v>1361</v>
      </c>
      <c r="C291" s="221"/>
      <c r="D291" s="371" t="s">
        <v>340</v>
      </c>
      <c r="E291" s="27"/>
      <c r="F291" s="247"/>
    </row>
    <row r="292" spans="1:8" s="1" customFormat="1" ht="20.100000000000001" customHeight="1" x14ac:dyDescent="0.25">
      <c r="A292" s="206" t="s">
        <v>651</v>
      </c>
      <c r="B292" s="97" t="s">
        <v>1124</v>
      </c>
      <c r="C292" s="221"/>
      <c r="D292" s="231">
        <f>D54</f>
        <v>0</v>
      </c>
      <c r="E292" s="27">
        <f>D292</f>
        <v>0</v>
      </c>
      <c r="F292" s="247"/>
    </row>
    <row r="293" spans="1:8" s="1" customFormat="1" ht="20.100000000000001" customHeight="1" x14ac:dyDescent="0.25">
      <c r="A293" s="206" t="s">
        <v>652</v>
      </c>
      <c r="B293" s="97" t="s">
        <v>1125</v>
      </c>
      <c r="C293" s="221"/>
      <c r="D293" s="195"/>
      <c r="E293" s="26" t="e">
        <f>VLOOKUP(D293,OPTSCORE4,2,FALSE)</f>
        <v>#N/A</v>
      </c>
      <c r="F293" s="247"/>
    </row>
    <row r="294" spans="1:8" ht="20.100000000000001" customHeight="1" x14ac:dyDescent="0.25">
      <c r="A294" s="206" t="s">
        <v>653</v>
      </c>
      <c r="B294" s="97" t="s">
        <v>1126</v>
      </c>
      <c r="C294" s="221"/>
      <c r="D294" s="195"/>
      <c r="E294" s="26" t="e">
        <f>VLOOKUP(D294,OPTSCORE4,2,FALSE)</f>
        <v>#N/A</v>
      </c>
      <c r="F294" s="247"/>
    </row>
    <row r="295" spans="1:8" ht="35.1" customHeight="1" x14ac:dyDescent="0.25">
      <c r="A295" s="206" t="s">
        <v>654</v>
      </c>
      <c r="B295" s="97" t="s">
        <v>1195</v>
      </c>
      <c r="C295" s="221"/>
      <c r="D295" s="195"/>
      <c r="E295" s="26" t="e">
        <f>VLOOKUP(D295,OPTSCORE4,2,FALSE)</f>
        <v>#N/A</v>
      </c>
      <c r="F295" s="247"/>
    </row>
    <row r="296" spans="1:8" s="1" customFormat="1" ht="24.9" customHeight="1" x14ac:dyDescent="0.25">
      <c r="A296" s="206"/>
      <c r="B296" s="220" t="s">
        <v>827</v>
      </c>
      <c r="C296" s="221"/>
      <c r="D296" s="371" t="s">
        <v>340</v>
      </c>
      <c r="E296" s="27"/>
      <c r="F296" s="247"/>
    </row>
    <row r="297" spans="1:8" ht="20.100000000000001" customHeight="1" x14ac:dyDescent="0.25">
      <c r="A297" s="206" t="s">
        <v>655</v>
      </c>
      <c r="B297" s="97" t="s">
        <v>1127</v>
      </c>
      <c r="C297" s="194"/>
      <c r="D297" s="251"/>
      <c r="E297" s="26" t="e">
        <f>VLOOKUP(C297,OPTSCORE4,2,FALSE)</f>
        <v>#N/A</v>
      </c>
      <c r="F297" s="247"/>
    </row>
    <row r="298" spans="1:8" ht="20.100000000000001" customHeight="1" x14ac:dyDescent="0.25">
      <c r="A298" s="206" t="s">
        <v>656</v>
      </c>
      <c r="B298" s="97" t="s">
        <v>1128</v>
      </c>
      <c r="C298" s="194"/>
      <c r="D298" s="251"/>
      <c r="E298" s="26" t="e">
        <f>VLOOKUP(C298,OPTSCORE4,2,FALSE)</f>
        <v>#N/A</v>
      </c>
      <c r="F298" s="247"/>
    </row>
    <row r="299" spans="1:8" ht="20.100000000000001" customHeight="1" thickBot="1" x14ac:dyDescent="0.3">
      <c r="B299" s="223"/>
      <c r="C299" s="224" t="str">
        <f>IFERROR(AVERAGE(E297:E298), "N/A")</f>
        <v>N/A</v>
      </c>
      <c r="D299" s="225" t="e">
        <f>AVERAGE(E270:E295)</f>
        <v>#N/A</v>
      </c>
      <c r="F299" s="247"/>
    </row>
    <row r="300" spans="1:8" ht="68.25" customHeight="1" thickBot="1" x14ac:dyDescent="0.3">
      <c r="B300" s="226"/>
      <c r="C300" s="227"/>
      <c r="D300" s="227"/>
      <c r="F300" s="320"/>
    </row>
    <row r="301" spans="1:8" ht="50.1" customHeight="1" thickBot="1" x14ac:dyDescent="0.3">
      <c r="B301" s="462" t="s">
        <v>1377</v>
      </c>
      <c r="C301" s="463"/>
      <c r="D301" s="464"/>
      <c r="E301"/>
      <c r="F301" s="247"/>
    </row>
    <row r="302" spans="1:8" ht="20.100000000000001" customHeight="1" x14ac:dyDescent="0.25">
      <c r="B302" s="230"/>
      <c r="C302" s="348" t="s">
        <v>0</v>
      </c>
      <c r="D302" s="349" t="s">
        <v>1</v>
      </c>
      <c r="F302" s="247"/>
      <c r="H302" s="43"/>
    </row>
    <row r="303" spans="1:8" ht="24.9" customHeight="1" x14ac:dyDescent="0.25">
      <c r="B303" s="220" t="s">
        <v>70</v>
      </c>
      <c r="C303" s="221"/>
      <c r="D303" s="371" t="s">
        <v>340</v>
      </c>
      <c r="F303" s="247"/>
      <c r="H303" s="44"/>
    </row>
    <row r="304" spans="1:8" ht="20.100000000000001" customHeight="1" x14ac:dyDescent="0.25">
      <c r="A304" s="206" t="s">
        <v>743</v>
      </c>
      <c r="B304" s="97" t="s">
        <v>830</v>
      </c>
      <c r="C304" s="221"/>
      <c r="D304" s="222"/>
      <c r="F304" s="247"/>
      <c r="H304" s="13"/>
    </row>
    <row r="305" spans="1:6" ht="24.9" customHeight="1" x14ac:dyDescent="0.25">
      <c r="B305" s="327" t="s">
        <v>1272</v>
      </c>
      <c r="C305" s="228"/>
      <c r="D305" s="331"/>
      <c r="F305" s="247"/>
    </row>
    <row r="306" spans="1:6" ht="24.9" customHeight="1" x14ac:dyDescent="0.25">
      <c r="B306" s="220" t="s">
        <v>831</v>
      </c>
      <c r="C306" s="221"/>
      <c r="D306" s="371" t="s">
        <v>340</v>
      </c>
      <c r="F306" s="247"/>
    </row>
    <row r="307" spans="1:6" ht="24.9" customHeight="1" x14ac:dyDescent="0.25">
      <c r="B307" s="97" t="s">
        <v>1131</v>
      </c>
      <c r="C307" s="221"/>
      <c r="D307" s="222"/>
      <c r="F307" s="247"/>
    </row>
    <row r="308" spans="1:6" ht="24.9" customHeight="1" x14ac:dyDescent="0.25">
      <c r="B308" s="328" t="s">
        <v>1227</v>
      </c>
      <c r="C308" s="228"/>
      <c r="D308" s="331"/>
      <c r="E308" s="26">
        <f>IF(OR(D307="No",D305="No"),"N/A",IF(C308="Yes",1,0))</f>
        <v>0</v>
      </c>
      <c r="F308" s="247"/>
    </row>
    <row r="309" spans="1:6" ht="24.9" customHeight="1" x14ac:dyDescent="0.25">
      <c r="B309" s="329" t="s">
        <v>1228</v>
      </c>
      <c r="C309" s="221"/>
      <c r="D309" s="309"/>
      <c r="F309" s="247"/>
    </row>
    <row r="310" spans="1:6" ht="20.100000000000001" customHeight="1" x14ac:dyDescent="0.25">
      <c r="A310" s="206" t="s">
        <v>744</v>
      </c>
      <c r="B310" s="97" t="s">
        <v>1132</v>
      </c>
      <c r="C310" s="221"/>
      <c r="D310" s="222"/>
      <c r="E310" s="26">
        <f>IF(D307="Yes","N/A",IF(D310="Yes",1,0))</f>
        <v>0</v>
      </c>
      <c r="F310" s="247"/>
    </row>
    <row r="311" spans="1:6" ht="20.100000000000001" customHeight="1" x14ac:dyDescent="0.25">
      <c r="A311" s="206" t="s">
        <v>745</v>
      </c>
      <c r="B311" s="97" t="s">
        <v>1133</v>
      </c>
      <c r="C311" s="221"/>
      <c r="D311" s="222"/>
      <c r="E311" s="26">
        <f>IF(D307="Yes","N/A",IF(D311="Yes",1,0))</f>
        <v>0</v>
      </c>
      <c r="F311" s="247"/>
    </row>
    <row r="312" spans="1:6" ht="20.100000000000001" customHeight="1" x14ac:dyDescent="0.25">
      <c r="A312" s="206" t="s">
        <v>746</v>
      </c>
      <c r="B312" s="97" t="s">
        <v>1134</v>
      </c>
      <c r="C312" s="221"/>
      <c r="D312" s="222"/>
      <c r="E312" s="26">
        <f>IF(D307="Yes","N/A",IF(D312="Yes",1,0))</f>
        <v>0</v>
      </c>
      <c r="F312" s="247"/>
    </row>
    <row r="313" spans="1:6" ht="20.100000000000001" customHeight="1" x14ac:dyDescent="0.25">
      <c r="A313" s="206" t="s">
        <v>747</v>
      </c>
      <c r="B313" s="97" t="s">
        <v>1135</v>
      </c>
      <c r="C313" s="221"/>
      <c r="D313" s="222"/>
      <c r="E313" s="26">
        <f>IF(D307="Yes","N/A",IF(D313="Yes",1,0))</f>
        <v>0</v>
      </c>
      <c r="F313" s="247"/>
    </row>
    <row r="314" spans="1:6" ht="20.100000000000001" customHeight="1" x14ac:dyDescent="0.25">
      <c r="A314" s="206" t="s">
        <v>748</v>
      </c>
      <c r="B314" s="97" t="s">
        <v>1136</v>
      </c>
      <c r="C314" s="221"/>
      <c r="D314" s="222"/>
      <c r="E314" s="26">
        <f>IF(D307="Yes","N/A",IF(D314="Yes",1,0))</f>
        <v>0</v>
      </c>
      <c r="F314" s="247"/>
    </row>
    <row r="315" spans="1:6" ht="20.100000000000001" customHeight="1" x14ac:dyDescent="0.25">
      <c r="A315" s="206" t="s">
        <v>749</v>
      </c>
      <c r="B315" s="97" t="s">
        <v>1137</v>
      </c>
      <c r="C315" s="221"/>
      <c r="D315" s="222"/>
      <c r="E315" s="26">
        <f>IF(D307="Yes","N/A",IF(D315="Yes",1,0))</f>
        <v>0</v>
      </c>
      <c r="F315" s="247"/>
    </row>
    <row r="316" spans="1:6" ht="20.100000000000001" customHeight="1" x14ac:dyDescent="0.25">
      <c r="A316" s="206" t="s">
        <v>750</v>
      </c>
      <c r="B316" s="97" t="s">
        <v>1138</v>
      </c>
      <c r="C316" s="221"/>
      <c r="D316" s="222"/>
      <c r="E316" s="26">
        <f>IF(D307="Yes","N/A",IF(D316="Yes",1,0))</f>
        <v>0</v>
      </c>
      <c r="F316" s="247"/>
    </row>
    <row r="317" spans="1:6" ht="27.75" customHeight="1" x14ac:dyDescent="0.25">
      <c r="A317" s="206" t="s">
        <v>751</v>
      </c>
      <c r="B317" s="97" t="s">
        <v>1139</v>
      </c>
      <c r="C317" s="221"/>
      <c r="D317" s="222"/>
      <c r="E317" s="26">
        <f>IF(D307="Yes","N/A",IF(D317="Yes",1,0))</f>
        <v>0</v>
      </c>
      <c r="F317" s="247"/>
    </row>
    <row r="318" spans="1:6" ht="20.100000000000001" customHeight="1" x14ac:dyDescent="0.25">
      <c r="A318" s="206" t="s">
        <v>752</v>
      </c>
      <c r="B318" s="97" t="s">
        <v>1198</v>
      </c>
      <c r="C318" s="221"/>
      <c r="D318" s="222"/>
      <c r="E318" s="26">
        <f>IF(D307="Yes","N/A",IF(D318="Yes",1,0))</f>
        <v>0</v>
      </c>
      <c r="F318" s="247"/>
    </row>
    <row r="319" spans="1:6" ht="35.1" customHeight="1" x14ac:dyDescent="0.25">
      <c r="A319" s="206" t="s">
        <v>753</v>
      </c>
      <c r="B319" s="97" t="s">
        <v>1140</v>
      </c>
      <c r="C319" s="221"/>
      <c r="D319" s="222"/>
      <c r="E319" s="26">
        <f>IF(D307="Yes","N/A",IF(D319="Yes",1,0))</f>
        <v>0</v>
      </c>
      <c r="F319" s="247"/>
    </row>
    <row r="320" spans="1:6" ht="27" customHeight="1" x14ac:dyDescent="0.25">
      <c r="A320" s="206" t="s">
        <v>754</v>
      </c>
      <c r="B320" s="97" t="s">
        <v>1213</v>
      </c>
      <c r="C320" s="221"/>
      <c r="D320" s="222"/>
      <c r="E320" s="26" t="str">
        <f>IF(D307="Yes","N/A",IF(D320="Yes",1,IF(D320="No",0,"N/A")))</f>
        <v>N/A</v>
      </c>
      <c r="F320" s="247"/>
    </row>
    <row r="321" spans="1:6" ht="24.9" customHeight="1" x14ac:dyDescent="0.25">
      <c r="B321" s="220" t="s">
        <v>81</v>
      </c>
      <c r="C321" s="221"/>
      <c r="D321" s="371" t="s">
        <v>340</v>
      </c>
      <c r="F321" s="247"/>
    </row>
    <row r="322" spans="1:6" ht="17.25" customHeight="1" x14ac:dyDescent="0.25">
      <c r="A322" s="206" t="s">
        <v>755</v>
      </c>
      <c r="B322" s="97" t="s">
        <v>71</v>
      </c>
      <c r="C322" s="221"/>
      <c r="D322" s="222"/>
      <c r="F322" s="320"/>
    </row>
    <row r="323" spans="1:6" ht="26.4" x14ac:dyDescent="0.25">
      <c r="B323" s="330" t="s">
        <v>1229</v>
      </c>
      <c r="C323" s="222"/>
      <c r="D323" s="221"/>
      <c r="E323" s="26">
        <f>IF(OR(D305="No",D322="No"),"N/A",IF(C323="Yes",1,0))</f>
        <v>0</v>
      </c>
      <c r="F323" s="247"/>
    </row>
    <row r="324" spans="1:6" ht="21.75" customHeight="1" x14ac:dyDescent="0.25">
      <c r="B324" s="220" t="s">
        <v>1420</v>
      </c>
      <c r="C324" s="221"/>
      <c r="D324" s="309"/>
      <c r="F324" s="247"/>
    </row>
    <row r="325" spans="1:6" ht="42" customHeight="1" x14ac:dyDescent="0.25">
      <c r="B325" s="97" t="s">
        <v>1129</v>
      </c>
      <c r="C325" s="222"/>
      <c r="D325" s="309"/>
      <c r="E325" s="26">
        <f>IF(D322="Yes","N/A",IF(C325="Yes",1,0))</f>
        <v>0</v>
      </c>
      <c r="F325" s="247"/>
    </row>
    <row r="326" spans="1:6" ht="33" customHeight="1" x14ac:dyDescent="0.25">
      <c r="B326" s="97" t="s">
        <v>1130</v>
      </c>
      <c r="C326" s="222"/>
      <c r="D326" s="309"/>
      <c r="E326" s="26">
        <f>IF(D322="Yes","N/A",IF(C326="Yes",1,0))</f>
        <v>0</v>
      </c>
      <c r="F326" s="247"/>
    </row>
    <row r="327" spans="1:6" ht="24.9" customHeight="1" x14ac:dyDescent="0.25">
      <c r="B327" s="220" t="s">
        <v>1230</v>
      </c>
      <c r="C327" s="221"/>
      <c r="D327" s="229"/>
      <c r="F327" s="247"/>
    </row>
    <row r="328" spans="1:6" ht="20.100000000000001" customHeight="1" x14ac:dyDescent="0.25">
      <c r="A328" s="206" t="s">
        <v>756</v>
      </c>
      <c r="B328" s="97" t="s">
        <v>1141</v>
      </c>
      <c r="C328" s="221"/>
      <c r="D328" s="222"/>
      <c r="E328" s="26">
        <f>IF(D322="Yes","N/A",IF(D328="Yes",1,0))</f>
        <v>0</v>
      </c>
      <c r="F328" s="247"/>
    </row>
    <row r="329" spans="1:6" ht="20.100000000000001" customHeight="1" x14ac:dyDescent="0.25">
      <c r="A329" s="206" t="s">
        <v>757</v>
      </c>
      <c r="B329" s="97" t="s">
        <v>1142</v>
      </c>
      <c r="C329" s="221"/>
      <c r="D329" s="222"/>
      <c r="E329" s="26">
        <f>IF(D322="Yes","N/A",IF(D329="Yes",1,0))</f>
        <v>0</v>
      </c>
      <c r="F329" s="247"/>
    </row>
    <row r="330" spans="1:6" ht="20.100000000000001" customHeight="1" x14ac:dyDescent="0.25">
      <c r="A330" s="206" t="s">
        <v>758</v>
      </c>
      <c r="B330" s="97" t="s">
        <v>1143</v>
      </c>
      <c r="C330" s="221"/>
      <c r="D330" s="222"/>
      <c r="E330" s="26">
        <f>IF(D322="Yes","N/A",IF(D330="Yes",1,0))</f>
        <v>0</v>
      </c>
      <c r="F330" s="247"/>
    </row>
    <row r="331" spans="1:6" ht="20.100000000000001" customHeight="1" x14ac:dyDescent="0.25">
      <c r="A331" s="206" t="s">
        <v>759</v>
      </c>
      <c r="B331" s="97" t="s">
        <v>1144</v>
      </c>
      <c r="C331" s="221"/>
      <c r="D331" s="222"/>
      <c r="E331" s="26">
        <f>IF(D322="Yes","N/A",IF(D331="Yes",1,0))</f>
        <v>0</v>
      </c>
      <c r="F331" s="247"/>
    </row>
    <row r="332" spans="1:6" ht="20.100000000000001" customHeight="1" x14ac:dyDescent="0.25">
      <c r="A332" s="206" t="s">
        <v>760</v>
      </c>
      <c r="B332" s="97" t="s">
        <v>1145</v>
      </c>
      <c r="C332" s="221"/>
      <c r="D332" s="222"/>
      <c r="E332" s="26">
        <f>IF(D322="Yes","N/A",IF(D332="Yes",1,0))</f>
        <v>0</v>
      </c>
      <c r="F332" s="247"/>
    </row>
    <row r="333" spans="1:6" x14ac:dyDescent="0.25">
      <c r="B333" s="97" t="s">
        <v>1146</v>
      </c>
      <c r="C333" s="221"/>
      <c r="D333" s="222"/>
      <c r="E333" s="26">
        <f>IF(D322="Yes","N/A",IF(D333="Yes",1,0))</f>
        <v>0</v>
      </c>
      <c r="F333" s="247"/>
    </row>
    <row r="334" spans="1:6" ht="20.100000000000001" customHeight="1" x14ac:dyDescent="0.25">
      <c r="A334" s="206" t="s">
        <v>761</v>
      </c>
      <c r="B334" s="97" t="s">
        <v>1147</v>
      </c>
      <c r="C334" s="221"/>
      <c r="D334" s="222"/>
      <c r="E334" s="26">
        <f>IF(D322="Yes","N/A",IF(D334="Yes",1,0))</f>
        <v>0</v>
      </c>
      <c r="F334" s="247"/>
    </row>
    <row r="335" spans="1:6" ht="20.100000000000001" customHeight="1" x14ac:dyDescent="0.25">
      <c r="A335" s="206" t="s">
        <v>762</v>
      </c>
      <c r="B335" s="97" t="s">
        <v>1148</v>
      </c>
      <c r="C335" s="221"/>
      <c r="D335" s="222"/>
      <c r="E335" s="26">
        <f>IF(D322="Yes","N/A",IF(D335="Yes",1,0))</f>
        <v>0</v>
      </c>
      <c r="F335" s="247"/>
    </row>
    <row r="336" spans="1:6" ht="20.100000000000001" customHeight="1" x14ac:dyDescent="0.25">
      <c r="A336" s="206" t="s">
        <v>763</v>
      </c>
      <c r="B336" s="97" t="s">
        <v>1149</v>
      </c>
      <c r="C336" s="221"/>
      <c r="D336" s="222"/>
      <c r="E336" s="26">
        <f>IF(D322="Yes","N/A",IF(D336="Yes",1,0))</f>
        <v>0</v>
      </c>
      <c r="F336" s="247"/>
    </row>
    <row r="337" spans="1:6" ht="20.100000000000001" customHeight="1" x14ac:dyDescent="0.25">
      <c r="A337" s="206" t="s">
        <v>764</v>
      </c>
      <c r="B337" s="220" t="s">
        <v>72</v>
      </c>
      <c r="C337" s="221"/>
      <c r="D337" s="229"/>
      <c r="F337" s="247"/>
    </row>
    <row r="338" spans="1:6" ht="31.5" customHeight="1" x14ac:dyDescent="0.25">
      <c r="A338" s="206" t="s">
        <v>765</v>
      </c>
      <c r="B338" s="97" t="s">
        <v>1150</v>
      </c>
      <c r="C338" s="221"/>
      <c r="D338" s="222"/>
      <c r="E338" s="26">
        <f>IF(D322="Yes","N/A",IF(D338="Yes",1,0))</f>
        <v>0</v>
      </c>
      <c r="F338" s="247"/>
    </row>
    <row r="339" spans="1:6" ht="20.100000000000001" customHeight="1" x14ac:dyDescent="0.25">
      <c r="A339" s="206" t="s">
        <v>766</v>
      </c>
      <c r="B339" s="97" t="s">
        <v>1151</v>
      </c>
      <c r="C339" s="221"/>
      <c r="D339" s="222"/>
      <c r="E339" s="26">
        <f>IF(D322="Yes","N/A",IF(D339="Yes",1,0))</f>
        <v>0</v>
      </c>
      <c r="F339" s="247"/>
    </row>
    <row r="340" spans="1:6" ht="20.100000000000001" customHeight="1" x14ac:dyDescent="0.25">
      <c r="A340" s="206" t="s">
        <v>767</v>
      </c>
      <c r="B340" s="97" t="s">
        <v>1152</v>
      </c>
      <c r="C340" s="221"/>
      <c r="D340" s="222"/>
      <c r="E340" s="26">
        <f>IF(D322="Yes","N/A",IF(D340="Yes",1,0))</f>
        <v>0</v>
      </c>
      <c r="F340" s="247"/>
    </row>
    <row r="341" spans="1:6" ht="29.25" customHeight="1" x14ac:dyDescent="0.25">
      <c r="A341" s="206" t="s">
        <v>768</v>
      </c>
      <c r="B341" s="97" t="s">
        <v>1153</v>
      </c>
      <c r="C341" s="221"/>
      <c r="D341" s="222"/>
      <c r="E341" s="26">
        <f>IF(D322="Yes","N/A",IF(D341="Yes",1,0))</f>
        <v>0</v>
      </c>
      <c r="F341" s="247"/>
    </row>
    <row r="342" spans="1:6" ht="20.100000000000001" customHeight="1" x14ac:dyDescent="0.25">
      <c r="A342" s="206" t="s">
        <v>769</v>
      </c>
      <c r="B342" s="220" t="s">
        <v>73</v>
      </c>
      <c r="C342" s="221"/>
      <c r="D342" s="229"/>
      <c r="F342" s="247"/>
    </row>
    <row r="343" spans="1:6" ht="20.100000000000001" customHeight="1" x14ac:dyDescent="0.25">
      <c r="A343" s="206" t="s">
        <v>770</v>
      </c>
      <c r="B343" s="97" t="s">
        <v>1154</v>
      </c>
      <c r="C343" s="221"/>
      <c r="D343" s="222"/>
      <c r="E343" s="26">
        <f>IF(D322="Yes","N/A",IF(D343="Yes",1,0))</f>
        <v>0</v>
      </c>
      <c r="F343" s="247"/>
    </row>
    <row r="344" spans="1:6" x14ac:dyDescent="0.25">
      <c r="B344" s="97" t="s">
        <v>1136</v>
      </c>
      <c r="C344" s="221"/>
      <c r="D344" s="222"/>
      <c r="E344" s="26">
        <f>IF(D322="Yes","N/A",IF(D344="Yes",1,0))</f>
        <v>0</v>
      </c>
      <c r="F344" s="247"/>
    </row>
    <row r="345" spans="1:6" x14ac:dyDescent="0.25">
      <c r="A345" s="206" t="s">
        <v>771</v>
      </c>
      <c r="B345" s="97" t="s">
        <v>1155</v>
      </c>
      <c r="C345" s="221"/>
      <c r="D345" s="222"/>
      <c r="E345" s="26">
        <f>IF(D322="Yes","N/A",IF(D345="Yes",1,0))</f>
        <v>0</v>
      </c>
      <c r="F345" s="247"/>
    </row>
    <row r="346" spans="1:6" s="1" customFormat="1" ht="20.100000000000001" customHeight="1" x14ac:dyDescent="0.25">
      <c r="A346" s="206" t="s">
        <v>772</v>
      </c>
      <c r="B346" s="220" t="s">
        <v>74</v>
      </c>
      <c r="C346" s="221"/>
      <c r="D346" s="229"/>
      <c r="E346" s="26"/>
      <c r="F346" s="247"/>
    </row>
    <row r="347" spans="1:6" ht="20.100000000000001" customHeight="1" x14ac:dyDescent="0.25">
      <c r="A347" s="206" t="s">
        <v>773</v>
      </c>
      <c r="B347" s="97" t="s">
        <v>80</v>
      </c>
      <c r="C347" s="221"/>
      <c r="D347" s="229"/>
      <c r="F347" s="247"/>
    </row>
    <row r="348" spans="1:6" ht="20.25" customHeight="1" x14ac:dyDescent="0.25">
      <c r="A348" s="206" t="s">
        <v>774</v>
      </c>
      <c r="B348" s="97" t="s">
        <v>79</v>
      </c>
      <c r="C348" s="221"/>
      <c r="D348" s="222"/>
      <c r="E348" s="26">
        <f>IF(D322="Yes","N/A",IF(D348="Yes",1,0))</f>
        <v>0</v>
      </c>
      <c r="F348" s="247"/>
    </row>
    <row r="349" spans="1:6" ht="24.9" customHeight="1" x14ac:dyDescent="0.25">
      <c r="B349" s="97" t="s">
        <v>78</v>
      </c>
      <c r="C349" s="221"/>
      <c r="D349" s="222"/>
      <c r="E349" s="26">
        <f>IF(D322="Yes","N/A",IF(D349="Yes",1,0))</f>
        <v>0</v>
      </c>
      <c r="F349" s="247"/>
    </row>
    <row r="350" spans="1:6" s="1" customFormat="1" ht="20.100000000000001" customHeight="1" x14ac:dyDescent="0.25">
      <c r="A350" s="206" t="s">
        <v>775</v>
      </c>
      <c r="B350" s="97" t="s">
        <v>77</v>
      </c>
      <c r="C350" s="221"/>
      <c r="D350" s="222"/>
      <c r="E350" s="26">
        <f>IF(D322="Yes","N/A",IF(D350="Yes",1,0))</f>
        <v>0</v>
      </c>
      <c r="F350" s="247"/>
    </row>
    <row r="351" spans="1:6" s="1" customFormat="1" ht="20.100000000000001" customHeight="1" x14ac:dyDescent="0.25">
      <c r="A351" s="206" t="s">
        <v>776</v>
      </c>
      <c r="B351" s="97" t="s">
        <v>76</v>
      </c>
      <c r="C351" s="221"/>
      <c r="D351" s="222"/>
      <c r="E351" s="26">
        <f>IF(D322="Yes","N/A",IF(D351="Yes",1,0))</f>
        <v>0</v>
      </c>
      <c r="F351" s="247"/>
    </row>
    <row r="352" spans="1:6" s="1" customFormat="1" ht="20.100000000000001" customHeight="1" x14ac:dyDescent="0.25">
      <c r="A352" s="206" t="s">
        <v>777</v>
      </c>
      <c r="B352" s="97" t="s">
        <v>75</v>
      </c>
      <c r="C352" s="221"/>
      <c r="D352" s="222"/>
      <c r="E352" s="26">
        <f>IF(D322="Yes","N/A",IF(D352="Yes",1,0))</f>
        <v>0</v>
      </c>
      <c r="F352" s="247"/>
    </row>
    <row r="353" spans="1:6" s="1" customFormat="1" ht="24.9" customHeight="1" x14ac:dyDescent="0.25">
      <c r="A353" s="206"/>
      <c r="B353" s="97" t="s">
        <v>187</v>
      </c>
      <c r="C353" s="221"/>
      <c r="D353" s="222"/>
      <c r="E353" s="26">
        <f>IF(D322="Yes","N/A",IF(D353="Yes",1,0))</f>
        <v>0</v>
      </c>
      <c r="F353" s="247"/>
    </row>
    <row r="354" spans="1:6" s="1" customFormat="1" ht="20.100000000000001" customHeight="1" x14ac:dyDescent="0.25">
      <c r="A354" s="206" t="s">
        <v>778</v>
      </c>
      <c r="B354" s="97" t="s">
        <v>186</v>
      </c>
      <c r="C354" s="221"/>
      <c r="D354" s="222"/>
      <c r="E354" s="26">
        <f>IF(D322="Yes","N/A",IF(D354="Yes",1,0))</f>
        <v>0</v>
      </c>
      <c r="F354" s="247"/>
    </row>
    <row r="355" spans="1:6" s="1" customFormat="1" ht="20.100000000000001" customHeight="1" thickBot="1" x14ac:dyDescent="0.3">
      <c r="A355" s="206"/>
      <c r="B355" s="223"/>
      <c r="C355" s="224">
        <f>IF(D304="Yes",1,IFERROR(AVERAGE(E308,E323:E326),"N/A"))</f>
        <v>0</v>
      </c>
      <c r="D355" s="225">
        <f>IF(D304="Yes",100%,IFERROR(AVERAGE(E310:E320,E328:E354),"N/A"))</f>
        <v>0</v>
      </c>
      <c r="E355" s="27"/>
      <c r="F355" s="247"/>
    </row>
    <row r="356" spans="1:6" ht="20.100000000000001" customHeight="1" thickBot="1" x14ac:dyDescent="0.3">
      <c r="B356" s="226"/>
      <c r="C356" s="227"/>
      <c r="D356" s="227"/>
      <c r="F356" s="247"/>
    </row>
    <row r="357" spans="1:6" ht="50.1" customHeight="1" thickBot="1" x14ac:dyDescent="0.3">
      <c r="B357" s="453" t="s">
        <v>1378</v>
      </c>
      <c r="C357" s="454"/>
      <c r="D357" s="455"/>
      <c r="F357" s="247"/>
    </row>
    <row r="358" spans="1:6" ht="20.100000000000001" customHeight="1" x14ac:dyDescent="0.25">
      <c r="B358" s="230"/>
      <c r="C358" s="348" t="s">
        <v>0</v>
      </c>
      <c r="D358" s="349" t="s">
        <v>1</v>
      </c>
      <c r="F358" s="247"/>
    </row>
    <row r="359" spans="1:6" s="1" customFormat="1" ht="24.9" customHeight="1" x14ac:dyDescent="0.25">
      <c r="A359" s="206"/>
      <c r="B359" s="220" t="s">
        <v>1422</v>
      </c>
      <c r="C359" s="221"/>
      <c r="D359" s="371" t="s">
        <v>340</v>
      </c>
      <c r="E359" s="27"/>
      <c r="F359" s="247"/>
    </row>
    <row r="360" spans="1:6" ht="132.75" customHeight="1" x14ac:dyDescent="0.25">
      <c r="A360" s="206" t="s">
        <v>718</v>
      </c>
      <c r="B360" s="97" t="s">
        <v>1156</v>
      </c>
      <c r="C360" s="228"/>
      <c r="D360" s="229"/>
      <c r="E360" s="26">
        <f>IF(C360="Yes",0,1)</f>
        <v>1</v>
      </c>
      <c r="F360" s="247"/>
    </row>
    <row r="361" spans="1:6" ht="48.75" customHeight="1" x14ac:dyDescent="0.25">
      <c r="A361" s="206" t="s">
        <v>719</v>
      </c>
      <c r="B361" s="97" t="s">
        <v>1157</v>
      </c>
      <c r="C361" s="228"/>
      <c r="D361" s="229"/>
      <c r="E361" s="26" t="str">
        <f>IF(C361="Yes",0,IF(C361="No",1,"N/A"))</f>
        <v>N/A</v>
      </c>
      <c r="F361" s="247"/>
    </row>
    <row r="362" spans="1:6" ht="20.100000000000001" customHeight="1" x14ac:dyDescent="0.25">
      <c r="A362" s="206" t="s">
        <v>720</v>
      </c>
      <c r="B362" s="97" t="s">
        <v>1158</v>
      </c>
      <c r="C362" s="228"/>
      <c r="D362" s="229"/>
      <c r="E362" s="26" t="str">
        <f>IF(C362="Yes",0,IF(C362="No",1,"N/A"))</f>
        <v>N/A</v>
      </c>
      <c r="F362" s="247"/>
    </row>
    <row r="363" spans="1:6" ht="20.100000000000001" customHeight="1" x14ac:dyDescent="0.25">
      <c r="A363" s="206" t="s">
        <v>721</v>
      </c>
      <c r="B363" s="97" t="s">
        <v>1159</v>
      </c>
      <c r="C363" s="228"/>
      <c r="D363" s="229"/>
      <c r="E363" s="26" t="str">
        <f>IF(C363="Yes",0,IF(C363="No",1,"N/A"))</f>
        <v>N/A</v>
      </c>
      <c r="F363" s="247"/>
    </row>
    <row r="364" spans="1:6" s="1" customFormat="1" ht="24.9" customHeight="1" x14ac:dyDescent="0.25">
      <c r="A364" s="206"/>
      <c r="B364" s="220" t="s">
        <v>324</v>
      </c>
      <c r="C364" s="221"/>
      <c r="D364" s="371" t="s">
        <v>340</v>
      </c>
      <c r="E364" s="27"/>
      <c r="F364" s="247"/>
    </row>
    <row r="365" spans="1:6" s="1" customFormat="1" ht="20.100000000000001" customHeight="1" x14ac:dyDescent="0.25">
      <c r="A365" s="206"/>
      <c r="B365" s="97" t="s">
        <v>1350</v>
      </c>
      <c r="C365" s="228"/>
      <c r="D365" s="251"/>
      <c r="E365" s="27"/>
      <c r="F365" s="247"/>
    </row>
    <row r="366" spans="1:6" ht="20.100000000000001" customHeight="1" x14ac:dyDescent="0.25">
      <c r="A366" s="206" t="s">
        <v>722</v>
      </c>
      <c r="B366" s="97" t="s">
        <v>1160</v>
      </c>
      <c r="C366" s="228"/>
      <c r="D366" s="229"/>
      <c r="E366" s="26">
        <f>IF(C365="No", "N/A",IF(C366="Yes",1,0))</f>
        <v>0</v>
      </c>
      <c r="F366" s="247"/>
    </row>
    <row r="367" spans="1:6" ht="20.100000000000001" customHeight="1" x14ac:dyDescent="0.25">
      <c r="A367" s="206" t="s">
        <v>723</v>
      </c>
      <c r="B367" s="97" t="s">
        <v>1161</v>
      </c>
      <c r="C367" s="250">
        <f>PEOPLE!C34</f>
        <v>0</v>
      </c>
      <c r="D367" s="229"/>
      <c r="E367" s="26">
        <f>IF(C365="No", "N/A",IF(C367="Yes",1,0))</f>
        <v>0</v>
      </c>
      <c r="F367" s="247"/>
    </row>
    <row r="368" spans="1:6" ht="20.100000000000001" customHeight="1" x14ac:dyDescent="0.25">
      <c r="A368" s="206" t="s">
        <v>724</v>
      </c>
      <c r="B368" s="97" t="s">
        <v>1162</v>
      </c>
      <c r="C368" s="228"/>
      <c r="D368" s="229"/>
      <c r="E368" s="26">
        <f>IF(C365="No", "N/A",IF(C368="Yes",1,0))</f>
        <v>0</v>
      </c>
      <c r="F368" s="247"/>
    </row>
    <row r="369" spans="1:7" ht="39.9" customHeight="1" x14ac:dyDescent="0.25">
      <c r="A369" s="206" t="s">
        <v>725</v>
      </c>
      <c r="B369" s="97" t="s">
        <v>1163</v>
      </c>
      <c r="C369" s="228"/>
      <c r="D369" s="229"/>
      <c r="E369" s="26">
        <f>IF(C365="No", "N/A",IF(C369="Yes",1,0))</f>
        <v>0</v>
      </c>
      <c r="F369" s="247"/>
    </row>
    <row r="370" spans="1:7" ht="20.100000000000001" customHeight="1" x14ac:dyDescent="0.25">
      <c r="A370" s="206" t="s">
        <v>726</v>
      </c>
      <c r="B370" s="97" t="s">
        <v>1164</v>
      </c>
      <c r="C370" s="232">
        <f>PEOPLE!C37</f>
        <v>0</v>
      </c>
      <c r="D370" s="229"/>
      <c r="E370" s="26">
        <f>IF(C365="No", "N/A",IF(C370="Yes",1,0))</f>
        <v>0</v>
      </c>
      <c r="F370" s="247"/>
    </row>
    <row r="371" spans="1:7" ht="20.100000000000001" customHeight="1" x14ac:dyDescent="0.25">
      <c r="A371" s="206" t="s">
        <v>727</v>
      </c>
      <c r="B371" s="97" t="s">
        <v>1354</v>
      </c>
      <c r="C371" s="250" t="str">
        <f>IF(PROFILE!C22=0,"N/A",PEOPLE!C38)</f>
        <v>N/A</v>
      </c>
      <c r="D371" s="229"/>
      <c r="E371" s="26" t="str">
        <f>IF(OR(PROFILE!C22=0,C365="No"), "N/A",IF(C371="Yes",1,0))</f>
        <v>N/A</v>
      </c>
      <c r="F371" s="247"/>
    </row>
    <row r="372" spans="1:7" ht="20.100000000000001" customHeight="1" x14ac:dyDescent="0.25">
      <c r="A372" s="206" t="s">
        <v>728</v>
      </c>
      <c r="B372" s="97" t="s">
        <v>1165</v>
      </c>
      <c r="C372" s="228"/>
      <c r="D372" s="229"/>
      <c r="E372" s="26">
        <f>IF(C365="No", "N/A",IF(C372="Yes",1,0))</f>
        <v>0</v>
      </c>
      <c r="F372" s="247"/>
    </row>
    <row r="373" spans="1:7" ht="30" customHeight="1" x14ac:dyDescent="0.25">
      <c r="A373" s="206" t="s">
        <v>729</v>
      </c>
      <c r="B373" s="97" t="s">
        <v>925</v>
      </c>
      <c r="C373" s="232">
        <f>PEOPLE!C40</f>
        <v>0</v>
      </c>
      <c r="D373" s="229"/>
      <c r="E373" s="26">
        <f>IF(C365="No", "N/A",IF(C373="Yes",1,0))</f>
        <v>0</v>
      </c>
      <c r="F373" s="247"/>
    </row>
    <row r="374" spans="1:7" s="1" customFormat="1" ht="24.9" customHeight="1" x14ac:dyDescent="0.25">
      <c r="A374" s="206"/>
      <c r="B374" s="220" t="s">
        <v>20</v>
      </c>
      <c r="C374" s="221"/>
      <c r="D374" s="371" t="s">
        <v>340</v>
      </c>
      <c r="E374" s="27"/>
      <c r="F374" s="247"/>
    </row>
    <row r="375" spans="1:7" ht="20.100000000000001" customHeight="1" x14ac:dyDescent="0.25">
      <c r="A375" s="206" t="s">
        <v>730</v>
      </c>
      <c r="B375" s="97" t="s">
        <v>1166</v>
      </c>
      <c r="C375" s="228"/>
      <c r="D375" s="229"/>
      <c r="E375" s="26" t="str">
        <f>IF(C375="Yes",1,IF(C375="No",0,"N/A"))</f>
        <v>N/A</v>
      </c>
      <c r="F375" s="247"/>
      <c r="G375" s="7"/>
    </row>
    <row r="376" spans="1:7" ht="20.100000000000001" customHeight="1" x14ac:dyDescent="0.25">
      <c r="A376" s="206" t="s">
        <v>731</v>
      </c>
      <c r="B376" s="97" t="s">
        <v>1167</v>
      </c>
      <c r="C376" s="228"/>
      <c r="D376" s="229"/>
      <c r="E376" s="26" t="str">
        <f>IF(C376="Yes",1,IF(C376="No",0,"N/A"))</f>
        <v>N/A</v>
      </c>
      <c r="F376" s="247"/>
    </row>
    <row r="377" spans="1:7" ht="20.100000000000001" customHeight="1" x14ac:dyDescent="0.25">
      <c r="A377" s="206" t="s">
        <v>733</v>
      </c>
      <c r="B377" s="97" t="s">
        <v>1168</v>
      </c>
      <c r="C377" s="221"/>
      <c r="D377" s="222"/>
      <c r="E377" s="26" t="e">
        <f>VLOOKUP(D377,OPTSCORE3,2,FALSE)</f>
        <v>#N/A</v>
      </c>
      <c r="F377" s="247"/>
    </row>
    <row r="378" spans="1:7" ht="28.5" customHeight="1" x14ac:dyDescent="0.25">
      <c r="A378" s="206" t="s">
        <v>732</v>
      </c>
      <c r="B378" s="97" t="s">
        <v>1169</v>
      </c>
      <c r="C378" s="221"/>
      <c r="D378" s="222"/>
      <c r="E378" s="26" t="e">
        <f>VLOOKUP(D378,OPTSCORE3,2,FALSE)</f>
        <v>#N/A</v>
      </c>
      <c r="F378" s="247"/>
    </row>
    <row r="379" spans="1:7" ht="39.9" customHeight="1" x14ac:dyDescent="0.25">
      <c r="A379" s="206" t="s">
        <v>734</v>
      </c>
      <c r="B379" s="97" t="s">
        <v>1170</v>
      </c>
      <c r="C379" s="221"/>
      <c r="D379" s="222"/>
      <c r="E379" s="26" t="e">
        <f>VLOOKUP(D379,OPTSCORE3,2,FALSE)</f>
        <v>#N/A</v>
      </c>
      <c r="F379" s="247"/>
    </row>
    <row r="380" spans="1:7" ht="20.100000000000001" customHeight="1" x14ac:dyDescent="0.25">
      <c r="A380" s="206" t="s">
        <v>735</v>
      </c>
      <c r="B380" s="97" t="s">
        <v>1171</v>
      </c>
      <c r="C380" s="221"/>
      <c r="D380" s="252" t="str">
        <f>IF(PROFILE!C50="Known","Yes","No")</f>
        <v>Yes</v>
      </c>
      <c r="E380" s="26">
        <f>IF(D380="Yes",1,0)</f>
        <v>1</v>
      </c>
      <c r="F380" s="247"/>
    </row>
    <row r="381" spans="1:7" ht="20.100000000000001" customHeight="1" x14ac:dyDescent="0.25">
      <c r="B381" s="97" t="s">
        <v>1172</v>
      </c>
      <c r="C381" s="221"/>
      <c r="D381" s="252" t="e">
        <f>IF(CALCULATORS!B78&lt;5,"Yes","No")</f>
        <v>#DIV/0!</v>
      </c>
      <c r="E381" s="26" t="e">
        <f>CALCULATORS!B79</f>
        <v>#DIV/0!</v>
      </c>
      <c r="F381" s="247"/>
    </row>
    <row r="382" spans="1:7" s="1" customFormat="1" ht="24.9" customHeight="1" x14ac:dyDescent="0.25">
      <c r="A382" s="206"/>
      <c r="B382" s="220" t="s">
        <v>21</v>
      </c>
      <c r="C382" s="221"/>
      <c r="D382" s="371" t="s">
        <v>340</v>
      </c>
      <c r="E382" s="27"/>
      <c r="F382" s="247"/>
    </row>
    <row r="383" spans="1:7" ht="20.100000000000001" customHeight="1" x14ac:dyDescent="0.25">
      <c r="A383" s="206" t="s">
        <v>736</v>
      </c>
      <c r="B383" s="97" t="s">
        <v>1173</v>
      </c>
      <c r="C383" s="228"/>
      <c r="D383" s="229"/>
      <c r="E383" s="26" t="str">
        <f>IF(C383="Yes",1,IF(C383="No",0,"N/A"))</f>
        <v>N/A</v>
      </c>
      <c r="F383" s="247"/>
    </row>
    <row r="384" spans="1:7" ht="20.100000000000001" customHeight="1" x14ac:dyDescent="0.25">
      <c r="A384" s="206" t="s">
        <v>737</v>
      </c>
      <c r="B384" s="97" t="s">
        <v>1174</v>
      </c>
      <c r="C384" s="232">
        <f>PEOPLE!C21</f>
        <v>0</v>
      </c>
      <c r="D384" s="229"/>
      <c r="E384" s="11" t="e">
        <f>VLOOKUP(C384,OPTSCORE3,2,FALSE)</f>
        <v>#N/A</v>
      </c>
      <c r="F384" s="247"/>
    </row>
    <row r="385" spans="1:11" ht="20.100000000000001" customHeight="1" x14ac:dyDescent="0.25">
      <c r="A385" s="206" t="s">
        <v>738</v>
      </c>
      <c r="B385" s="97" t="s">
        <v>1175</v>
      </c>
      <c r="C385" s="228"/>
      <c r="D385" s="229"/>
      <c r="E385" s="26" t="str">
        <f>IF(C385="Yes",1,IF(C385="No",0,"N/A"))</f>
        <v>N/A</v>
      </c>
      <c r="F385" s="247"/>
    </row>
    <row r="386" spans="1:11" s="1" customFormat="1" ht="24.9" customHeight="1" x14ac:dyDescent="0.25">
      <c r="A386" s="206"/>
      <c r="B386" s="220" t="s">
        <v>22</v>
      </c>
      <c r="C386" s="221"/>
      <c r="D386" s="371" t="s">
        <v>340</v>
      </c>
      <c r="E386" s="27"/>
      <c r="F386" s="247"/>
      <c r="G386"/>
      <c r="H386"/>
      <c r="I386"/>
      <c r="J386"/>
      <c r="K386"/>
    </row>
    <row r="387" spans="1:11" ht="20.100000000000001" customHeight="1" x14ac:dyDescent="0.25">
      <c r="A387" s="206" t="s">
        <v>739</v>
      </c>
      <c r="B387" s="97" t="s">
        <v>1176</v>
      </c>
      <c r="C387" s="250">
        <f>C81</f>
        <v>0</v>
      </c>
      <c r="D387" s="229"/>
      <c r="E387" s="26" t="str">
        <f>IF(C387="Yes",1,IF(C387="No",0,"N/A"))</f>
        <v>N/A</v>
      </c>
      <c r="F387" s="247"/>
    </row>
    <row r="388" spans="1:11" ht="20.100000000000001" customHeight="1" x14ac:dyDescent="0.25">
      <c r="A388" s="206" t="s">
        <v>785</v>
      </c>
      <c r="B388" s="97" t="s">
        <v>1177</v>
      </c>
      <c r="C388" s="228"/>
      <c r="D388" s="229"/>
      <c r="E388" s="26" t="str">
        <f>IF(C388="Yes",1,IF(C388="No",0,"N/A"))</f>
        <v>N/A</v>
      </c>
      <c r="F388" s="247"/>
    </row>
    <row r="389" spans="1:11" ht="20.100000000000001" customHeight="1" x14ac:dyDescent="0.25">
      <c r="A389" s="206" t="s">
        <v>786</v>
      </c>
      <c r="B389" s="97" t="s">
        <v>1196</v>
      </c>
      <c r="C389" s="228"/>
      <c r="D389" s="229"/>
      <c r="E389" s="26" t="str">
        <f>IF(C389="Yes",1,IF(C389="No",0,"N/A"))</f>
        <v>N/A</v>
      </c>
      <c r="F389" s="247"/>
    </row>
    <row r="390" spans="1:11" ht="20.100000000000001" customHeight="1" thickBot="1" x14ac:dyDescent="0.3">
      <c r="B390" s="223"/>
      <c r="C390" s="224" t="e">
        <f>AVERAGE(E360:E376,E383:E389)</f>
        <v>#N/A</v>
      </c>
      <c r="D390" s="225" t="e">
        <f>AVERAGE(E377:E381)</f>
        <v>#N/A</v>
      </c>
      <c r="F390" s="247"/>
    </row>
    <row r="391" spans="1:11" ht="20.100000000000001" customHeight="1" thickBot="1" x14ac:dyDescent="0.3">
      <c r="B391" s="226"/>
      <c r="C391" s="227"/>
      <c r="D391" s="227"/>
      <c r="F391" s="247"/>
    </row>
    <row r="392" spans="1:11" ht="50.1" customHeight="1" thickBot="1" x14ac:dyDescent="0.3">
      <c r="B392" s="453" t="s">
        <v>1379</v>
      </c>
      <c r="C392" s="454"/>
      <c r="D392" s="455"/>
      <c r="F392" s="247"/>
    </row>
    <row r="393" spans="1:11" ht="20.100000000000001" customHeight="1" x14ac:dyDescent="0.25">
      <c r="B393" s="230"/>
      <c r="C393" s="348" t="s">
        <v>0</v>
      </c>
      <c r="D393" s="349" t="s">
        <v>1</v>
      </c>
      <c r="F393" s="247"/>
    </row>
    <row r="394" spans="1:11" s="1" customFormat="1" ht="24.9" customHeight="1" x14ac:dyDescent="0.25">
      <c r="A394" s="206"/>
      <c r="B394" s="220" t="s">
        <v>17</v>
      </c>
      <c r="C394" s="221"/>
      <c r="D394" s="371" t="s">
        <v>340</v>
      </c>
      <c r="E394" s="27"/>
      <c r="F394" s="247"/>
    </row>
    <row r="395" spans="1:11" ht="39.9" customHeight="1" x14ac:dyDescent="0.25">
      <c r="A395" s="206" t="s">
        <v>704</v>
      </c>
      <c r="B395" s="97" t="s">
        <v>1178</v>
      </c>
      <c r="C395" s="228"/>
      <c r="D395" s="229"/>
      <c r="E395" s="26" t="str">
        <f>IF(C395="Yes",1,IF(C395="No",0,"N/A"))</f>
        <v>N/A</v>
      </c>
      <c r="F395" s="247"/>
    </row>
    <row r="396" spans="1:11" ht="20.100000000000001" customHeight="1" x14ac:dyDescent="0.25">
      <c r="A396" s="206" t="s">
        <v>705</v>
      </c>
      <c r="B396" s="97" t="s">
        <v>1179</v>
      </c>
      <c r="C396" s="228"/>
      <c r="D396" s="229"/>
      <c r="E396" s="26" t="str">
        <f>IF(C396="Yes",1,IF(C396="No",0,"N/A"))</f>
        <v>N/A</v>
      </c>
      <c r="F396" s="247"/>
    </row>
    <row r="397" spans="1:11" s="1" customFormat="1" ht="24.9" customHeight="1" x14ac:dyDescent="0.25">
      <c r="A397" s="206"/>
      <c r="B397" s="220" t="s">
        <v>18</v>
      </c>
      <c r="C397" s="221"/>
      <c r="D397" s="371" t="s">
        <v>340</v>
      </c>
      <c r="E397" s="27"/>
      <c r="F397" s="247"/>
    </row>
    <row r="398" spans="1:11" ht="39.9" customHeight="1" x14ac:dyDescent="0.25">
      <c r="A398" s="206" t="s">
        <v>706</v>
      </c>
      <c r="B398" s="97" t="s">
        <v>1180</v>
      </c>
      <c r="C398" s="228"/>
      <c r="D398" s="229"/>
      <c r="E398" s="26" t="str">
        <f>IF(C398="Yes",1,IF(C398="No",0,"N/A"))</f>
        <v>N/A</v>
      </c>
      <c r="F398" s="247"/>
    </row>
    <row r="399" spans="1:11" s="1" customFormat="1" ht="24.9" customHeight="1" x14ac:dyDescent="0.25">
      <c r="A399" s="206"/>
      <c r="B399" s="220" t="s">
        <v>19</v>
      </c>
      <c r="C399" s="221"/>
      <c r="D399" s="371" t="s">
        <v>340</v>
      </c>
      <c r="E399" s="27"/>
      <c r="F399" s="247"/>
    </row>
    <row r="400" spans="1:11" ht="39.9" customHeight="1" x14ac:dyDescent="0.25">
      <c r="A400" s="206" t="s">
        <v>707</v>
      </c>
      <c r="B400" s="97" t="s">
        <v>1181</v>
      </c>
      <c r="C400" s="221"/>
      <c r="D400" s="222"/>
      <c r="E400" s="26" t="str">
        <f>IF(D400="Yes",1,IF(D400="No",0,"N/A"))</f>
        <v>N/A</v>
      </c>
      <c r="F400" s="247"/>
    </row>
    <row r="401" spans="1:6" ht="31.5" customHeight="1" x14ac:dyDescent="0.25">
      <c r="A401" s="206" t="s">
        <v>708</v>
      </c>
      <c r="B401" s="97" t="s">
        <v>1362</v>
      </c>
      <c r="C401" s="221"/>
      <c r="D401" s="222"/>
      <c r="E401" s="26">
        <f>IF(D401="Yes",1,0)</f>
        <v>0</v>
      </c>
      <c r="F401" s="247"/>
    </row>
    <row r="402" spans="1:6" ht="20.100000000000001" customHeight="1" x14ac:dyDescent="0.25">
      <c r="A402" s="206" t="s">
        <v>709</v>
      </c>
      <c r="B402" s="97" t="s">
        <v>1182</v>
      </c>
      <c r="C402" s="228"/>
      <c r="D402" s="251"/>
      <c r="E402" s="26">
        <f>IF(C402="Yes",1,0)</f>
        <v>0</v>
      </c>
      <c r="F402" s="247"/>
    </row>
    <row r="403" spans="1:6" ht="20.100000000000001" customHeight="1" x14ac:dyDescent="0.25">
      <c r="A403" s="206" t="s">
        <v>710</v>
      </c>
      <c r="B403" s="97" t="s">
        <v>1183</v>
      </c>
      <c r="C403" s="221"/>
      <c r="D403" s="222"/>
      <c r="E403" s="26" t="str">
        <f>IF(D403="Yes",1,IF(D403="No",0,"N/A"))</f>
        <v>N/A</v>
      </c>
      <c r="F403" s="247"/>
    </row>
    <row r="404" spans="1:6" ht="20.100000000000001" customHeight="1" x14ac:dyDescent="0.25">
      <c r="A404" s="206" t="s">
        <v>711</v>
      </c>
      <c r="B404" s="97" t="s">
        <v>1184</v>
      </c>
      <c r="C404" s="221"/>
      <c r="D404" s="222"/>
      <c r="E404" s="26" t="e">
        <f>VLOOKUP(D404,OPTSCORE1,2,FALSE)</f>
        <v>#N/A</v>
      </c>
      <c r="F404" s="247"/>
    </row>
    <row r="405" spans="1:6" ht="20.100000000000001" customHeight="1" x14ac:dyDescent="0.25">
      <c r="A405" s="206" t="s">
        <v>712</v>
      </c>
      <c r="B405" s="97" t="s">
        <v>1185</v>
      </c>
      <c r="C405" s="221"/>
      <c r="D405" s="222"/>
      <c r="E405" s="26" t="str">
        <f>IF(D405="Yes",1,IF(D405="No",0,"N/A"))</f>
        <v>N/A</v>
      </c>
      <c r="F405" s="247"/>
    </row>
    <row r="406" spans="1:6" ht="20.100000000000001" customHeight="1" x14ac:dyDescent="0.25">
      <c r="A406" s="206" t="s">
        <v>713</v>
      </c>
      <c r="B406" s="97" t="s">
        <v>1186</v>
      </c>
      <c r="C406" s="221"/>
      <c r="D406" s="222"/>
      <c r="E406" s="26">
        <f t="shared" ref="E406:E411" si="6">IF(D406="Yes",1,0)</f>
        <v>0</v>
      </c>
      <c r="F406" s="247"/>
    </row>
    <row r="407" spans="1:6" ht="20.100000000000001" customHeight="1" x14ac:dyDescent="0.25">
      <c r="B407" s="97" t="s">
        <v>1363</v>
      </c>
      <c r="C407" s="221"/>
      <c r="D407" s="222"/>
      <c r="E407" s="26">
        <f t="shared" si="6"/>
        <v>0</v>
      </c>
      <c r="F407" s="247"/>
    </row>
    <row r="408" spans="1:6" ht="20.100000000000001" customHeight="1" x14ac:dyDescent="0.25">
      <c r="A408" s="206" t="s">
        <v>714</v>
      </c>
      <c r="B408" s="97" t="s">
        <v>1187</v>
      </c>
      <c r="C408" s="221"/>
      <c r="D408" s="222"/>
      <c r="E408" s="26">
        <f t="shared" si="6"/>
        <v>0</v>
      </c>
      <c r="F408" s="247"/>
    </row>
    <row r="409" spans="1:6" ht="20.100000000000001" customHeight="1" x14ac:dyDescent="0.25">
      <c r="A409" s="206" t="s">
        <v>715</v>
      </c>
      <c r="B409" s="97" t="s">
        <v>1188</v>
      </c>
      <c r="C409" s="221"/>
      <c r="D409" s="222"/>
      <c r="E409" s="26">
        <f t="shared" si="6"/>
        <v>0</v>
      </c>
      <c r="F409" s="247"/>
    </row>
    <row r="410" spans="1:6" ht="20.100000000000001" customHeight="1" x14ac:dyDescent="0.25">
      <c r="A410" s="206" t="s">
        <v>716</v>
      </c>
      <c r="B410" s="97" t="s">
        <v>1189</v>
      </c>
      <c r="C410" s="221"/>
      <c r="D410" s="222"/>
      <c r="E410" s="26">
        <f t="shared" si="6"/>
        <v>0</v>
      </c>
      <c r="F410" s="247"/>
    </row>
    <row r="411" spans="1:6" ht="26.4" x14ac:dyDescent="0.25">
      <c r="A411" s="206" t="s">
        <v>717</v>
      </c>
      <c r="B411" s="97" t="s">
        <v>1214</v>
      </c>
      <c r="C411" s="221"/>
      <c r="D411" s="222"/>
      <c r="E411" s="26">
        <f t="shared" si="6"/>
        <v>0</v>
      </c>
      <c r="F411" s="247"/>
    </row>
    <row r="412" spans="1:6" ht="20.100000000000001" customHeight="1" thickBot="1" x14ac:dyDescent="0.3">
      <c r="B412" s="87"/>
      <c r="C412" s="92">
        <f>IFERROR(AVERAGE(E395:E398,E402),"N/A")</f>
        <v>0</v>
      </c>
      <c r="D412" s="93" t="e">
        <f>AVERAGE(E400:E401,E403:E411)</f>
        <v>#N/A</v>
      </c>
      <c r="F412" s="247"/>
    </row>
    <row r="413" spans="1:6" ht="20.100000000000001" customHeight="1" thickBot="1" x14ac:dyDescent="0.3">
      <c r="C413" s="181"/>
      <c r="D413" s="181"/>
      <c r="F413" s="247"/>
    </row>
    <row r="414" spans="1:6" ht="20.100000000000001" customHeight="1" thickBot="1" x14ac:dyDescent="0.3">
      <c r="B414" s="132" t="s">
        <v>38</v>
      </c>
      <c r="C414" s="94" t="str">
        <f>IFERROR(AVERAGE(C24,C38,C49,C83,C95,C105,C116,C141,C188,C227,C265,C299,C355,C390,C412),"N/A")</f>
        <v>N/A</v>
      </c>
      <c r="D414" s="94" t="str">
        <f>IFERROR(AVERAGE(D24,D38,D49,D83,D95,D105,D116,D141,D188,D227,D265,D299,D355,D390,D412),"N/A")</f>
        <v>N/A</v>
      </c>
      <c r="F414" s="321"/>
    </row>
    <row r="415" spans="1:6" x14ac:dyDescent="0.25">
      <c r="F415" s="214"/>
    </row>
    <row r="416" spans="1:6" x14ac:dyDescent="0.25">
      <c r="B416" s="207"/>
      <c r="F416" s="214"/>
    </row>
    <row r="417" spans="4:6" x14ac:dyDescent="0.25">
      <c r="F417" s="214"/>
    </row>
    <row r="418" spans="4:6" x14ac:dyDescent="0.25">
      <c r="F418" s="214"/>
    </row>
    <row r="419" spans="4:6" x14ac:dyDescent="0.25">
      <c r="F419" s="214"/>
    </row>
    <row r="420" spans="4:6" x14ac:dyDescent="0.25">
      <c r="F420" s="214"/>
    </row>
    <row r="421" spans="4:6" x14ac:dyDescent="0.25">
      <c r="F421" s="214"/>
    </row>
    <row r="422" spans="4:6" x14ac:dyDescent="0.25">
      <c r="F422" s="214"/>
    </row>
    <row r="423" spans="4:6" x14ac:dyDescent="0.25">
      <c r="F423" s="214"/>
    </row>
    <row r="424" spans="4:6" x14ac:dyDescent="0.25">
      <c r="F424" s="214"/>
    </row>
    <row r="425" spans="4:6" x14ac:dyDescent="0.25">
      <c r="F425" s="214"/>
    </row>
    <row r="426" spans="4:6" x14ac:dyDescent="0.25">
      <c r="F426" s="214"/>
    </row>
    <row r="427" spans="4:6" x14ac:dyDescent="0.25">
      <c r="F427" s="214"/>
    </row>
    <row r="428" spans="4:6" x14ac:dyDescent="0.25">
      <c r="F428" s="214"/>
    </row>
    <row r="429" spans="4:6" x14ac:dyDescent="0.25">
      <c r="F429" s="214"/>
    </row>
    <row r="430" spans="4:6" x14ac:dyDescent="0.25">
      <c r="D430" s="181" t="s">
        <v>1586</v>
      </c>
      <c r="F430" s="214"/>
    </row>
    <row r="431" spans="4:6" x14ac:dyDescent="0.25">
      <c r="F431" s="214"/>
    </row>
    <row r="432" spans="4:6" x14ac:dyDescent="0.25">
      <c r="F432" s="214"/>
    </row>
    <row r="433" spans="6:6" x14ac:dyDescent="0.25">
      <c r="F433" s="214"/>
    </row>
  </sheetData>
  <sheetProtection algorithmName="SHA-512" hashValue="vSWNMqEab9KwyD8zhnMA9BJXwBGN5OVf61stMA8YWaEBIS4wxIb9smTxygbK+nf/l/Odo+MlYe0gehqyn2Vqcg==" saltValue="y0pKaKsfrxE9KvpfccoOaw==" spinCount="100000" sheet="1" objects="1" scenarios="1" selectLockedCells="1"/>
  <mergeCells count="16">
    <mergeCell ref="B40:D40"/>
    <mergeCell ref="B301:D301"/>
    <mergeCell ref="B97:D97"/>
    <mergeCell ref="B118:D118"/>
    <mergeCell ref="B2:D2"/>
    <mergeCell ref="B3:D3"/>
    <mergeCell ref="B26:D26"/>
    <mergeCell ref="B392:D392"/>
    <mergeCell ref="B51:D51"/>
    <mergeCell ref="B143:D143"/>
    <mergeCell ref="B107:D107"/>
    <mergeCell ref="B229:D229"/>
    <mergeCell ref="B267:D267"/>
    <mergeCell ref="B85:D85"/>
    <mergeCell ref="B191:D191"/>
    <mergeCell ref="B357:D357"/>
  </mergeCells>
  <conditionalFormatting sqref="C55:C57 D60:D61">
    <cfRule type="expression" dxfId="47" priority="203">
      <formula>$D$54=100%</formula>
    </cfRule>
  </conditionalFormatting>
  <conditionalFormatting sqref="C136:C139 D140">
    <cfRule type="expression" dxfId="43" priority="113">
      <formula>$D$135="no"</formula>
    </cfRule>
  </conditionalFormatting>
  <conditionalFormatting sqref="C173:C175">
    <cfRule type="expression" dxfId="41" priority="54">
      <formula>$C$172="No"</formula>
    </cfRule>
  </conditionalFormatting>
  <conditionalFormatting sqref="C179">
    <cfRule type="expression" dxfId="39" priority="45">
      <formula>$D$135="no"</formula>
    </cfRule>
  </conditionalFormatting>
  <conditionalFormatting sqref="C181">
    <cfRule type="expression" dxfId="37" priority="46">
      <formula>$D$135="no"</formula>
    </cfRule>
  </conditionalFormatting>
  <conditionalFormatting sqref="C305">
    <cfRule type="expression" dxfId="36" priority="5">
      <formula>$D$304="Yes"</formula>
    </cfRule>
  </conditionalFormatting>
  <conditionalFormatting sqref="C308">
    <cfRule type="expression" dxfId="35" priority="12">
      <formula>$D$307="No"</formula>
    </cfRule>
    <cfRule type="expression" dxfId="34" priority="15">
      <formula>$C$305="No"</formula>
    </cfRule>
    <cfRule type="expression" dxfId="33" priority="18">
      <formula>$D$304="Yes"</formula>
    </cfRule>
  </conditionalFormatting>
  <conditionalFormatting sqref="C323">
    <cfRule type="expression" dxfId="32" priority="10">
      <formula>$D$322="No"</formula>
    </cfRule>
    <cfRule type="expression" dxfId="31" priority="13">
      <formula>$C$305="No"</formula>
    </cfRule>
    <cfRule type="expression" dxfId="30" priority="14">
      <formula>$D$304="Yes"</formula>
    </cfRule>
  </conditionalFormatting>
  <conditionalFormatting sqref="C325:C326">
    <cfRule type="expression" dxfId="29" priority="9">
      <formula>$D$322="Yes"</formula>
    </cfRule>
    <cfRule type="expression" dxfId="28" priority="16">
      <formula>$D$304="Yes"</formula>
    </cfRule>
  </conditionalFormatting>
  <conditionalFormatting sqref="C365">
    <cfRule type="expression" dxfId="27" priority="69">
      <formula>$D$304="Yes"</formula>
    </cfRule>
  </conditionalFormatting>
  <conditionalFormatting sqref="C366:C373">
    <cfRule type="expression" dxfId="26" priority="39">
      <formula>$C$365="No"</formula>
    </cfRule>
  </conditionalFormatting>
  <conditionalFormatting sqref="C389">
    <cfRule type="expression" dxfId="25" priority="58">
      <formula>$D$304="Yes"</formula>
    </cfRule>
  </conditionalFormatting>
  <conditionalFormatting sqref="D72:D76">
    <cfRule type="expression" dxfId="21" priority="36">
      <formula>$D$71="No"</formula>
    </cfRule>
  </conditionalFormatting>
  <conditionalFormatting sqref="D205:D206 D208:D214">
    <cfRule type="expression" dxfId="10" priority="77">
      <formula>$D$204="No"</formula>
    </cfRule>
  </conditionalFormatting>
  <conditionalFormatting sqref="D217:D226">
    <cfRule type="expression" dxfId="9" priority="71">
      <formula>$D$216="No"</formula>
    </cfRule>
  </conditionalFormatting>
  <conditionalFormatting sqref="D275:D278">
    <cfRule type="expression" dxfId="8" priority="35">
      <formula>$D$274="No"</formula>
    </cfRule>
  </conditionalFormatting>
  <conditionalFormatting sqref="D307">
    <cfRule type="expression" dxfId="7" priority="38">
      <formula>$D$304="Yes"</formula>
    </cfRule>
  </conditionalFormatting>
  <conditionalFormatting sqref="D310:D320 D322">
    <cfRule type="expression" dxfId="6" priority="226">
      <formula>$D$304="Yes"</formula>
    </cfRule>
  </conditionalFormatting>
  <conditionalFormatting sqref="D310:D320">
    <cfRule type="expression" dxfId="5" priority="37">
      <formula>$D$307="Yes"</formula>
    </cfRule>
  </conditionalFormatting>
  <conditionalFormatting sqref="D328:D336 D338:D341 D343:D345 D348:D354">
    <cfRule type="expression" dxfId="4" priority="6">
      <formula>$D$322="Yes"</formula>
    </cfRule>
  </conditionalFormatting>
  <conditionalFormatting sqref="D328:D336">
    <cfRule type="expression" dxfId="3" priority="7">
      <formula>$D$304="Yes"</formula>
    </cfRule>
  </conditionalFormatting>
  <conditionalFormatting sqref="D338:D341 D343:D345 D348:D354">
    <cfRule type="expression" dxfId="2" priority="23">
      <formula>$D$304="Yes"</formula>
    </cfRule>
  </conditionalFormatting>
  <dataValidations count="13">
    <dataValidation type="list" allowBlank="1" showInputMessage="1" showErrorMessage="1" sqref="C87:C88" xr:uid="{00000000-0002-0000-0400-000000000000}">
      <formula1>"0%,Below 50%, Above 50%,100%"</formula1>
    </dataValidation>
    <dataValidation type="list" allowBlank="1" showInputMessage="1" showErrorMessage="1" sqref="C402 C172:C175 C136 C362:C363 D401 C365:C366 D187 D131:D132 D216 D148 C372 C305 D307 D310:D319 C308 D322 D274 D135 D406:D411 D140 D43 C55 C48 C6 D14:D16 C31:C33 C35 D37 D60:D64 D19 C79 D304 C121:C122 D102:D103 D128 D150:D151 D163 D166 D168 D159 C180 D224:D225 C200 D204 C323:C326 C360 C138 C368:C369 D348:D354 D343:D345 D338:D341 D328:D336 C100 D67:D76" xr:uid="{00000000-0002-0000-0400-000001000000}">
      <formula1>"Yes,No"</formula1>
    </dataValidation>
    <dataValidation type="list" allowBlank="1" showInputMessage="1" showErrorMessage="1" sqref="C247 D58:D59 C78 C385 C43:C47 D18 D20:D22 C23 C361 C11 D320 C395:C396 C398 C89:C94 D12 C388 D400 D403 D405 C82 D104 C124 D133 C375:C376 C383" xr:uid="{00000000-0002-0000-0400-000002000000}">
      <formula1>"N/A,Yes,No"</formula1>
    </dataValidation>
    <dataValidation type="list" allowBlank="1" showInputMessage="1" showErrorMessage="1" sqref="D146:D147" xr:uid="{00000000-0002-0000-0400-000003000000}">
      <formula1>"N/A,0 %,10 %,20 %,30 %,40 %,50 %,60 %,70 %,80 %,90 %,100 %"</formula1>
    </dataValidation>
    <dataValidation type="list" allowBlank="1" showInputMessage="1" showErrorMessage="1" sqref="D54 D270" xr:uid="{00000000-0002-0000-0400-000004000000}">
      <formula1>"0 %,10 %,20 %,30 %,40 %,50 %,60 %,70 %,80 %,90 %,100 %"</formula1>
    </dataValidation>
    <dataValidation type="list" allowBlank="1" showInputMessage="1" showErrorMessage="1" sqref="D149 D65 C7:C8 D10 C195:C197 C137 C139 C181 C179 C183 C389" xr:uid="{00000000-0002-0000-0400-000005000000}">
      <formula1>"Yes,No,N/A"</formula1>
    </dataValidation>
    <dataValidation type="list" allowBlank="1" showInputMessage="1" showErrorMessage="1" sqref="C29:C30 C56:C57" xr:uid="{00000000-0002-0000-0400-000006000000}">
      <formula1>"N/A, Yes,No"</formula1>
    </dataValidation>
    <dataValidation allowBlank="1" showInputMessage="1" sqref="C111:C115" xr:uid="{00000000-0002-0000-0400-000007000000}"/>
    <dataValidation type="list" allowBlank="1" showInputMessage="1" sqref="C110" xr:uid="{00000000-0002-0000-0400-000008000000}">
      <formula1>"Option 1, Option 2, Option 3, Option 4, Option 5"</formula1>
    </dataValidation>
    <dataValidation type="list" allowBlank="1" showInputMessage="1" showErrorMessage="1" sqref="D17" xr:uid="{00000000-0002-0000-0400-000009000000}">
      <formula1>"Yes,In Progress,No"</formula1>
    </dataValidation>
    <dataValidation type="list" allowBlank="1" showInputMessage="1" showErrorMessage="1" sqref="D153 D155 D157 D170 D165 D160:D161 D404" xr:uid="{00000000-0002-0000-0400-00000A000000}">
      <formula1>OPT_1</formula1>
    </dataValidation>
    <dataValidation type="list" allowBlank="1" showInputMessage="1" showErrorMessage="1" sqref="C177:C178 D223 D217:D221 D184:D186 D226 D377:D379 D205:D208 D210:D214" xr:uid="{00000000-0002-0000-0400-00000B000000}">
      <formula1>OPT_3</formula1>
    </dataValidation>
    <dataValidation type="list" allowBlank="1" showInputMessage="1" showErrorMessage="1" sqref="D234:D245 D248:D249 D251:D257 D259:D261 D263:D264 D222 D280:D283 D285:D290 D293:D295 D209 D271:D272 D275:D278 C199 C297:C298" xr:uid="{00000000-0002-0000-0400-00000C000000}">
      <formula1>OPT_4</formula1>
    </dataValidation>
  </dataValidations>
  <hyperlinks>
    <hyperlink ref="C5" r:id="rId1" xr:uid="{00000000-0004-0000-0400-000000000000}"/>
    <hyperlink ref="D28" r:id="rId2" xr:uid="{00000000-0004-0000-0400-000001000000}"/>
    <hyperlink ref="D13" r:id="rId3" xr:uid="{00000000-0004-0000-0400-000002000000}"/>
    <hyperlink ref="D53" r:id="rId4" xr:uid="{00000000-0004-0000-0400-000003000000}"/>
    <hyperlink ref="D66" r:id="rId5" xr:uid="{00000000-0004-0000-0400-000004000000}"/>
    <hyperlink ref="D77" r:id="rId6" xr:uid="{00000000-0004-0000-0400-000005000000}"/>
    <hyperlink ref="D80" r:id="rId7" xr:uid="{00000000-0004-0000-0400-000006000000}"/>
    <hyperlink ref="D87" r:id="rId8" xr:uid="{00000000-0004-0000-0400-000007000000}"/>
    <hyperlink ref="D194" r:id="rId9" xr:uid="{00000000-0004-0000-0400-000008000000}"/>
    <hyperlink ref="D201" r:id="rId10" xr:uid="{00000000-0004-0000-0400-000009000000}"/>
    <hyperlink ref="D203" r:id="rId11" xr:uid="{00000000-0004-0000-0400-00000A000000}"/>
    <hyperlink ref="D215" r:id="rId12" xr:uid="{00000000-0004-0000-0400-00000B000000}"/>
    <hyperlink ref="D231" r:id="rId13" xr:uid="{00000000-0004-0000-0400-00000C000000}"/>
    <hyperlink ref="D246" r:id="rId14" xr:uid="{00000000-0004-0000-0400-00000D000000}"/>
    <hyperlink ref="D250" r:id="rId15" xr:uid="{00000000-0004-0000-0400-00000E000000}"/>
    <hyperlink ref="D258" r:id="rId16" xr:uid="{00000000-0004-0000-0400-00000F000000}"/>
    <hyperlink ref="D262" r:id="rId17" xr:uid="{00000000-0004-0000-0400-000010000000}"/>
    <hyperlink ref="D269" r:id="rId18" xr:uid="{00000000-0004-0000-0400-000011000000}"/>
    <hyperlink ref="D279" r:id="rId19" xr:uid="{00000000-0004-0000-0400-000012000000}"/>
    <hyperlink ref="D284" r:id="rId20" xr:uid="{00000000-0004-0000-0400-000013000000}"/>
    <hyperlink ref="D291" r:id="rId21" xr:uid="{00000000-0004-0000-0400-000014000000}"/>
    <hyperlink ref="D296" r:id="rId22" xr:uid="{00000000-0004-0000-0400-000015000000}"/>
    <hyperlink ref="D109" r:id="rId23" xr:uid="{00000000-0004-0000-0400-000016000000}"/>
    <hyperlink ref="D145" r:id="rId24" xr:uid="{00000000-0004-0000-0400-000017000000}"/>
    <hyperlink ref="D152" r:id="rId25" xr:uid="{00000000-0004-0000-0400-000018000000}"/>
    <hyperlink ref="D154" r:id="rId26" xr:uid="{00000000-0004-0000-0400-000019000000}"/>
    <hyperlink ref="D156" r:id="rId27" xr:uid="{00000000-0004-0000-0400-00001A000000}"/>
    <hyperlink ref="D158" r:id="rId28" xr:uid="{00000000-0004-0000-0400-00001B000000}"/>
    <hyperlink ref="D162" r:id="rId29" xr:uid="{00000000-0004-0000-0400-00001C000000}"/>
    <hyperlink ref="D164" r:id="rId30" xr:uid="{00000000-0004-0000-0400-00001D000000}"/>
    <hyperlink ref="D167" r:id="rId31" xr:uid="{00000000-0004-0000-0400-00001E000000}"/>
    <hyperlink ref="D169" r:id="rId32" xr:uid="{00000000-0004-0000-0400-00001F000000}"/>
    <hyperlink ref="D171" r:id="rId33" xr:uid="{00000000-0004-0000-0400-000020000000}"/>
    <hyperlink ref="D176" r:id="rId34" xr:uid="{00000000-0004-0000-0400-000021000000}"/>
    <hyperlink ref="D182" r:id="rId35" xr:uid="{00000000-0004-0000-0400-000022000000}"/>
    <hyperlink ref="D120" r:id="rId36" xr:uid="{00000000-0004-0000-0400-000023000000}"/>
    <hyperlink ref="D123" r:id="rId37" xr:uid="{00000000-0004-0000-0400-000024000000}"/>
    <hyperlink ref="D125" r:id="rId38" xr:uid="{00000000-0004-0000-0400-000025000000}"/>
    <hyperlink ref="D129" r:id="rId39" xr:uid="{00000000-0004-0000-0400-000026000000}"/>
    <hyperlink ref="D134" r:id="rId40" xr:uid="{00000000-0004-0000-0400-000027000000}"/>
    <hyperlink ref="D394" r:id="rId41" xr:uid="{00000000-0004-0000-0400-000028000000}"/>
    <hyperlink ref="D397" r:id="rId42" xr:uid="{00000000-0004-0000-0400-000029000000}"/>
    <hyperlink ref="D399" r:id="rId43" xr:uid="{00000000-0004-0000-0400-00002A000000}"/>
    <hyperlink ref="D359" r:id="rId44" xr:uid="{00000000-0004-0000-0400-00002B000000}"/>
    <hyperlink ref="D364" r:id="rId45" xr:uid="{00000000-0004-0000-0400-00002C000000}"/>
    <hyperlink ref="D374" r:id="rId46" xr:uid="{00000000-0004-0000-0400-00002D000000}"/>
    <hyperlink ref="D382" r:id="rId47" xr:uid="{00000000-0004-0000-0400-00002E000000}"/>
    <hyperlink ref="D386" r:id="rId48" xr:uid="{00000000-0004-0000-0400-00002F000000}"/>
    <hyperlink ref="D42" r:id="rId49" xr:uid="{00000000-0004-0000-0400-000030000000}"/>
    <hyperlink ref="D306" r:id="rId50" xr:uid="{00000000-0004-0000-0400-000031000000}"/>
    <hyperlink ref="D321" r:id="rId51" xr:uid="{00000000-0004-0000-0400-000032000000}"/>
    <hyperlink ref="D99" r:id="rId52" xr:uid="{00000000-0004-0000-0400-000033000000}"/>
    <hyperlink ref="C9" r:id="rId53" xr:uid="{00000000-0004-0000-0400-000034000000}"/>
    <hyperlink ref="D303" r:id="rId54" xr:uid="{00000000-0004-0000-0400-000035000000}"/>
  </hyperlinks>
  <pageMargins left="0.25" right="0.25" top="0.75" bottom="0.75" header="0.3" footer="0.3"/>
  <pageSetup paperSize="9" scale="60" fitToHeight="0" orientation="landscape" r:id="rId55"/>
  <ignoredErrors>
    <ignoredError sqref="D292 E6 E391 E412:E413 E393:E400 E78 E77 E62:E63 E80 E82" unlockedFormula="1"/>
    <ignoredError sqref="E64" formula="1"/>
  </ignoredErrors>
  <drawing r:id="rId56"/>
  <legacyDrawing r:id="rId57"/>
  <controls>
    <mc:AlternateContent xmlns:mc="http://schemas.openxmlformats.org/markup-compatibility/2006">
      <mc:Choice Requires="x14">
        <control shapeId="5125" r:id="rId58" name="CommandButton1">
          <controlPr defaultSize="0" autoLine="0" r:id="rId59">
            <anchor moveWithCells="1">
              <from>
                <xdr:col>5</xdr:col>
                <xdr:colOff>1112520</xdr:colOff>
                <xdr:row>1</xdr:row>
                <xdr:rowOff>76200</xdr:rowOff>
              </from>
              <to>
                <xdr:col>5</xdr:col>
                <xdr:colOff>3436620</xdr:colOff>
                <xdr:row>1</xdr:row>
                <xdr:rowOff>502920</xdr:rowOff>
              </to>
            </anchor>
          </controlPr>
        </control>
      </mc:Choice>
      <mc:Fallback>
        <control shapeId="5125" r:id="rId58" name="Command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09" id="{BD7C99CC-5884-4D85-87E1-A42C6D24231E}">
            <xm:f>PROFILE!$C$25="No"</xm:f>
            <x14:dxf>
              <fill>
                <patternFill>
                  <bgColor theme="1"/>
                </patternFill>
              </fill>
            </x14:dxf>
          </x14:cfRule>
          <xm:sqref>C6:C8 D10 C11 D12 D14:D22 C23</xm:sqref>
        </x14:conditionalFormatting>
        <x14:conditionalFormatting xmlns:xm="http://schemas.microsoft.com/office/excel/2006/main">
          <x14:cfRule type="expression" priority="108" id="{02F06345-7741-49C7-BD51-32AC73D5333B}">
            <xm:f>PROFILE!$C$14&lt;=1</xm:f>
            <x14:dxf>
              <fill>
                <patternFill>
                  <bgColor theme="1"/>
                </patternFill>
              </fill>
            </x14:dxf>
          </x14:cfRule>
          <xm:sqref>C35</xm:sqref>
        </x14:conditionalFormatting>
        <x14:conditionalFormatting xmlns:xm="http://schemas.microsoft.com/office/excel/2006/main">
          <x14:cfRule type="expression" priority="2" id="{8A3CC8F5-0593-4191-81DB-294AF6DFEE28}">
            <xm:f>PROFILE!$C$26="No"</xm:f>
            <x14:dxf>
              <fill>
                <patternFill>
                  <bgColor theme="1"/>
                </patternFill>
              </fill>
            </x14:dxf>
          </x14:cfRule>
          <x14:cfRule type="expression" priority="49" id="{03016C28-6E80-4E80-82A2-599AC405D044}">
            <xm:f>PROFILE!C27="No"</xm:f>
            <x14:dxf>
              <fill>
                <patternFill>
                  <bgColor theme="1"/>
                </patternFill>
              </fill>
            </x14:dxf>
          </x14:cfRule>
          <xm:sqref>C100:C101</xm:sqref>
        </x14:conditionalFormatting>
        <x14:conditionalFormatting xmlns:xm="http://schemas.microsoft.com/office/excel/2006/main">
          <x14:cfRule type="expression" priority="100" id="{62F8E7B1-A035-4BED-A6B2-FAE8623BFB78}">
            <xm:f>PROFILE!$C$25="No"</xm:f>
            <x14:dxf>
              <fill>
                <patternFill>
                  <bgColor theme="1"/>
                </patternFill>
              </fill>
            </x14:dxf>
          </x14:cfRule>
          <xm:sqref>C121:C122 C126 D127:D128 D131:D132</xm:sqref>
        </x14:conditionalFormatting>
        <x14:conditionalFormatting xmlns:xm="http://schemas.microsoft.com/office/excel/2006/main">
          <x14:cfRule type="expression" priority="56" id="{1EC806B3-98DA-48BC-B8A9-245A54BCEE6D}">
            <xm:f>PROFILE!$C$15+PROFILE!$C$16=0</xm:f>
            <x14:dxf>
              <fill>
                <patternFill>
                  <bgColor theme="1"/>
                </patternFill>
              </fill>
            </x14:dxf>
          </x14:cfRule>
          <xm:sqref>C172:C175</xm:sqref>
        </x14:conditionalFormatting>
        <x14:conditionalFormatting xmlns:xm="http://schemas.microsoft.com/office/excel/2006/main">
          <x14:cfRule type="expression" priority="126" id="{E9E86B4E-6AF2-4A4D-994C-181367D2030A}">
            <xm:f>PROFILE!$C$15+PROFILE!$C$16=0</xm:f>
            <x14:dxf>
              <fill>
                <patternFill>
                  <bgColor theme="1"/>
                </patternFill>
              </fill>
            </x14:dxf>
          </x14:cfRule>
          <xm:sqref>C177:C178</xm:sqref>
        </x14:conditionalFormatting>
        <x14:conditionalFormatting xmlns:xm="http://schemas.microsoft.com/office/excel/2006/main">
          <x14:cfRule type="expression" priority="55" id="{0CF97B53-C3A8-45F9-8F0D-7C329A16CBB7}">
            <xm:f>PROFILE!$C$15+PROFILE!$C$16=0</xm:f>
            <x14:dxf>
              <fill>
                <patternFill>
                  <bgColor theme="1"/>
                </patternFill>
              </fill>
            </x14:dxf>
          </x14:cfRule>
          <xm:sqref>C180</xm:sqref>
        </x14:conditionalFormatting>
        <x14:conditionalFormatting xmlns:xm="http://schemas.microsoft.com/office/excel/2006/main">
          <x14:cfRule type="expression" priority="107" id="{4C1F2E18-9C47-49E4-8E72-4104570F7E84}">
            <xm:f>PROFILE!$C$25="No"</xm:f>
            <x14:dxf>
              <fill>
                <patternFill>
                  <bgColor theme="1"/>
                </patternFill>
              </fill>
            </x14:dxf>
          </x14:cfRule>
          <xm:sqref>D37</xm:sqref>
        </x14:conditionalFormatting>
        <x14:conditionalFormatting xmlns:xm="http://schemas.microsoft.com/office/excel/2006/main">
          <x14:cfRule type="expression" priority="106" id="{AFF45990-B89F-4D46-A028-03E691805F23}">
            <xm:f>PROFILE!$C$25="No"</xm:f>
            <x14:dxf>
              <fill>
                <patternFill>
                  <bgColor theme="1"/>
                </patternFill>
              </fill>
            </x14:dxf>
          </x14:cfRule>
          <xm:sqref>D58:D59</xm:sqref>
        </x14:conditionalFormatting>
        <x14:conditionalFormatting xmlns:xm="http://schemas.microsoft.com/office/excel/2006/main">
          <x14:cfRule type="expression" priority="29" id="{ED5D0991-19B1-43F7-BDA5-920DCD6EB93F}">
            <xm:f>PROFILE!$C$49="No"</xm:f>
            <x14:dxf>
              <fill>
                <patternFill>
                  <bgColor theme="1"/>
                </patternFill>
              </fill>
            </x14:dxf>
          </x14:cfRule>
          <xm:sqref>D67:D70</xm:sqref>
        </x14:conditionalFormatting>
        <x14:conditionalFormatting xmlns:xm="http://schemas.microsoft.com/office/excel/2006/main">
          <x14:cfRule type="expression" priority="50" id="{45B206E7-8A69-4FDA-A8E5-CE63CD620287}">
            <xm:f>PROFILE!$C$26="No"</xm:f>
            <x14:dxf>
              <fill>
                <patternFill>
                  <bgColor theme="1"/>
                </patternFill>
              </fill>
            </x14:dxf>
          </x14:cfRule>
          <xm:sqref>D102:D103</xm:sqref>
        </x14:conditionalFormatting>
        <x14:conditionalFormatting xmlns:xm="http://schemas.microsoft.com/office/excel/2006/main">
          <x14:cfRule type="expression" priority="139" id="{803DA9BF-CA47-470C-BE2E-E28FCF20F4DD}">
            <xm:f>PROFILE!$C$15+PROFILE!$C$16=0</xm:f>
            <x14:dxf>
              <fill>
                <patternFill>
                  <bgColor theme="1"/>
                </patternFill>
              </fill>
            </x14:dxf>
          </x14:cfRule>
          <xm:sqref>D146:D151</xm:sqref>
        </x14:conditionalFormatting>
        <x14:conditionalFormatting xmlns:xm="http://schemas.microsoft.com/office/excel/2006/main">
          <x14:cfRule type="expression" priority="138" id="{E6D5E8C8-78FE-4D0A-B28F-967EC232E07E}">
            <xm:f>PROFILE!$C$15+PROFILE!$C$16=0</xm:f>
            <x14:dxf>
              <fill>
                <patternFill>
                  <bgColor theme="1"/>
                </patternFill>
              </fill>
            </x14:dxf>
          </x14:cfRule>
          <xm:sqref>D153</xm:sqref>
        </x14:conditionalFormatting>
        <x14:conditionalFormatting xmlns:xm="http://schemas.microsoft.com/office/excel/2006/main">
          <x14:cfRule type="expression" priority="99" id="{7F7B1A09-5575-432D-B9DB-62ED949B5430}">
            <xm:f>PROFILE!$C$15+PROFILE!$C$16=0</xm:f>
            <x14:dxf>
              <fill>
                <patternFill>
                  <bgColor theme="1"/>
                </patternFill>
              </fill>
            </x14:dxf>
          </x14:cfRule>
          <xm:sqref>D155</xm:sqref>
        </x14:conditionalFormatting>
        <x14:conditionalFormatting xmlns:xm="http://schemas.microsoft.com/office/excel/2006/main">
          <x14:cfRule type="expression" priority="98" id="{47AABAC4-6C41-4007-A6EE-C5C793E35E12}">
            <xm:f>PROFILE!$C$15+PROFILE!$C$16=0</xm:f>
            <x14:dxf>
              <fill>
                <patternFill>
                  <bgColor theme="1"/>
                </patternFill>
              </fill>
            </x14:dxf>
          </x14:cfRule>
          <xm:sqref>D157</xm:sqref>
        </x14:conditionalFormatting>
        <x14:conditionalFormatting xmlns:xm="http://schemas.microsoft.com/office/excel/2006/main">
          <x14:cfRule type="expression" priority="48" id="{ACC5F16C-1B68-4FF4-A2EB-6BEAAD89A0C8}">
            <xm:f>PROFILE!$C$15+PROFILE!$C$16=0</xm:f>
            <x14:dxf>
              <fill>
                <patternFill>
                  <bgColor theme="1"/>
                </patternFill>
              </fill>
            </x14:dxf>
          </x14:cfRule>
          <xm:sqref>D159:D161</xm:sqref>
        </x14:conditionalFormatting>
        <x14:conditionalFormatting xmlns:xm="http://schemas.microsoft.com/office/excel/2006/main">
          <x14:cfRule type="expression" priority="94" id="{699EBDA1-7D6D-4754-A9EB-548C23C89EA5}">
            <xm:f>PROFILE!$C$15+PROFILE!$C$16=0</xm:f>
            <x14:dxf>
              <fill>
                <patternFill>
                  <bgColor theme="1"/>
                </patternFill>
              </fill>
            </x14:dxf>
          </x14:cfRule>
          <xm:sqref>D163</xm:sqref>
        </x14:conditionalFormatting>
        <x14:conditionalFormatting xmlns:xm="http://schemas.microsoft.com/office/excel/2006/main">
          <x14:cfRule type="expression" priority="92" id="{358ECD8C-FFDA-43D3-A7A8-29B5D596BEF4}">
            <xm:f>PROFILE!$C$15+PROFILE!$C$16=0</xm:f>
            <x14:dxf>
              <fill>
                <patternFill>
                  <bgColor theme="1"/>
                </patternFill>
              </fill>
            </x14:dxf>
          </x14:cfRule>
          <xm:sqref>D165:D166</xm:sqref>
        </x14:conditionalFormatting>
        <x14:conditionalFormatting xmlns:xm="http://schemas.microsoft.com/office/excel/2006/main">
          <x14:cfRule type="expression" priority="91" id="{E597891C-FDEF-4612-9E48-F9BE1A49CBD4}">
            <xm:f>PROFILE!$C$15+PROFILE!$C$16=0</xm:f>
            <x14:dxf>
              <fill>
                <patternFill>
                  <bgColor theme="1"/>
                </patternFill>
              </fill>
            </x14:dxf>
          </x14:cfRule>
          <xm:sqref>D168</xm:sqref>
        </x14:conditionalFormatting>
        <x14:conditionalFormatting xmlns:xm="http://schemas.microsoft.com/office/excel/2006/main">
          <x14:cfRule type="expression" priority="90" id="{D8593627-AD07-4246-A5EA-933274DDB2E3}">
            <xm:f>PROFILE!$C$15+PROFILE!$C$16=0</xm:f>
            <x14:dxf>
              <fill>
                <patternFill>
                  <bgColor theme="1"/>
                </patternFill>
              </fill>
            </x14:dxf>
          </x14:cfRule>
          <xm:sqref>D170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D25"/>
  <sheetViews>
    <sheetView showGridLines="0" zoomScale="115" zoomScaleNormal="115" workbookViewId="0">
      <selection activeCell="C5" sqref="C5"/>
    </sheetView>
  </sheetViews>
  <sheetFormatPr defaultColWidth="8.88671875" defaultRowHeight="13.2" x14ac:dyDescent="0.25"/>
  <cols>
    <col min="1" max="1" width="2.109375" customWidth="1"/>
    <col min="2" max="2" width="74" customWidth="1"/>
    <col min="3" max="3" width="14.88671875" customWidth="1"/>
    <col min="4" max="4" width="111.33203125" style="356" customWidth="1"/>
  </cols>
  <sheetData>
    <row r="1" spans="2:4" ht="13.8" thickBot="1" x14ac:dyDescent="0.3">
      <c r="B1" s="355"/>
    </row>
    <row r="2" spans="2:4" ht="42" customHeight="1" thickTop="1" thickBot="1" x14ac:dyDescent="0.3">
      <c r="B2" s="468" t="s">
        <v>1391</v>
      </c>
      <c r="C2" s="469"/>
      <c r="D2" s="357"/>
    </row>
    <row r="3" spans="2:4" ht="122.25" customHeight="1" thickTop="1" thickBot="1" x14ac:dyDescent="0.3">
      <c r="B3" s="470" t="s">
        <v>1427</v>
      </c>
      <c r="C3" s="471"/>
      <c r="D3" s="357"/>
    </row>
    <row r="4" spans="2:4" ht="19.95" customHeight="1" thickTop="1" x14ac:dyDescent="0.25">
      <c r="B4" s="358" t="s">
        <v>1399</v>
      </c>
      <c r="C4" s="359"/>
      <c r="D4" s="360" t="s">
        <v>107</v>
      </c>
    </row>
    <row r="5" spans="2:4" ht="34.950000000000003" customHeight="1" x14ac:dyDescent="0.25">
      <c r="B5" s="361" t="s">
        <v>1398</v>
      </c>
      <c r="C5" s="353"/>
      <c r="D5" s="365" t="s">
        <v>1403</v>
      </c>
    </row>
    <row r="6" spans="2:4" ht="34.950000000000003" customHeight="1" x14ac:dyDescent="0.25">
      <c r="B6" s="361" t="s">
        <v>1406</v>
      </c>
      <c r="C6" s="353"/>
      <c r="D6" s="365" t="s">
        <v>1404</v>
      </c>
    </row>
    <row r="7" spans="2:4" ht="49.95" customHeight="1" x14ac:dyDescent="0.25">
      <c r="B7" s="361" t="s">
        <v>1405</v>
      </c>
      <c r="C7" s="364"/>
      <c r="D7" s="365" t="s">
        <v>1407</v>
      </c>
    </row>
    <row r="8" spans="2:4" ht="34.950000000000003" customHeight="1" x14ac:dyDescent="0.25">
      <c r="B8" s="358" t="s">
        <v>1411</v>
      </c>
      <c r="C8" s="359"/>
      <c r="D8" s="365"/>
    </row>
    <row r="9" spans="2:4" ht="19.95" customHeight="1" x14ac:dyDescent="0.25">
      <c r="B9" s="361" t="s">
        <v>1400</v>
      </c>
      <c r="C9" s="353"/>
      <c r="D9" s="365"/>
    </row>
    <row r="10" spans="2:4" ht="49.95" customHeight="1" x14ac:dyDescent="0.25">
      <c r="B10" s="361" t="s">
        <v>1408</v>
      </c>
      <c r="C10" s="354"/>
      <c r="D10" s="365" t="s">
        <v>1409</v>
      </c>
    </row>
    <row r="11" spans="2:4" ht="49.95" customHeight="1" x14ac:dyDescent="0.25">
      <c r="B11" s="361" t="s">
        <v>1416</v>
      </c>
      <c r="C11" s="354"/>
      <c r="D11" s="365"/>
    </row>
    <row r="12" spans="2:4" ht="19.95" customHeight="1" x14ac:dyDescent="0.25">
      <c r="B12" s="358" t="s">
        <v>1401</v>
      </c>
      <c r="C12" s="359"/>
      <c r="D12" s="365"/>
    </row>
    <row r="13" spans="2:4" ht="34.950000000000003" customHeight="1" x14ac:dyDescent="0.25">
      <c r="B13" s="361" t="s">
        <v>1410</v>
      </c>
      <c r="C13" s="353"/>
      <c r="D13" s="365"/>
    </row>
    <row r="14" spans="2:4" ht="19.95" customHeight="1" x14ac:dyDescent="0.25">
      <c r="B14" s="361" t="s">
        <v>1392</v>
      </c>
      <c r="C14" s="353"/>
      <c r="D14" s="365"/>
    </row>
    <row r="15" spans="2:4" ht="19.95" customHeight="1" x14ac:dyDescent="0.25">
      <c r="B15" s="358" t="s">
        <v>1402</v>
      </c>
      <c r="C15" s="359"/>
      <c r="D15" s="365"/>
    </row>
    <row r="16" spans="2:4" ht="34.950000000000003" customHeight="1" x14ac:dyDescent="0.25">
      <c r="B16" s="361" t="s">
        <v>1394</v>
      </c>
      <c r="C16" s="353"/>
      <c r="D16" s="365"/>
    </row>
    <row r="17" spans="2:4" ht="34.950000000000003" customHeight="1" x14ac:dyDescent="0.25">
      <c r="B17" s="361" t="s">
        <v>1425</v>
      </c>
      <c r="C17" s="363"/>
      <c r="D17" s="365"/>
    </row>
    <row r="18" spans="2:4" ht="49.95" customHeight="1" x14ac:dyDescent="0.25">
      <c r="B18" s="361" t="s">
        <v>1393</v>
      </c>
      <c r="C18" s="363"/>
      <c r="D18" s="365" t="s">
        <v>1414</v>
      </c>
    </row>
    <row r="19" spans="2:4" x14ac:dyDescent="0.25">
      <c r="B19" s="358" t="s">
        <v>1412</v>
      </c>
      <c r="C19" s="359"/>
      <c r="D19" s="365"/>
    </row>
    <row r="20" spans="2:4" ht="49.95" customHeight="1" x14ac:dyDescent="0.25">
      <c r="B20" s="361" t="s">
        <v>1413</v>
      </c>
      <c r="C20" s="363"/>
      <c r="D20" s="365" t="s">
        <v>1424</v>
      </c>
    </row>
    <row r="21" spans="2:4" ht="19.95" customHeight="1" x14ac:dyDescent="0.25">
      <c r="B21" s="358" t="s">
        <v>1395</v>
      </c>
      <c r="C21" s="359"/>
      <c r="D21" s="365"/>
    </row>
    <row r="22" spans="2:4" ht="34.950000000000003" customHeight="1" x14ac:dyDescent="0.25">
      <c r="B22" s="361" t="s">
        <v>1396</v>
      </c>
      <c r="C22" s="353"/>
      <c r="D22" s="365" t="s">
        <v>1415</v>
      </c>
    </row>
    <row r="23" spans="2:4" ht="49.95" customHeight="1" x14ac:dyDescent="0.25">
      <c r="B23" s="361" t="s">
        <v>1397</v>
      </c>
      <c r="C23" s="354"/>
      <c r="D23" s="365"/>
    </row>
    <row r="24" spans="2:4" ht="19.95" customHeight="1" thickBot="1" x14ac:dyDescent="0.3">
      <c r="B24" s="362" t="s">
        <v>1426</v>
      </c>
      <c r="C24" s="367"/>
      <c r="D24" s="366"/>
    </row>
    <row r="25" spans="2:4" ht="13.8" thickTop="1" x14ac:dyDescent="0.25"/>
  </sheetData>
  <sheetProtection algorithmName="SHA-512" hashValue="yRbPDALphIufPdXWzDGR2N/Zb03/P9KHBIMcBtufWPMCumLUHs9U+ghVvzaviDGQwZWAv7MCUgvlJLVPioDogQ==" saltValue="3gaiuwPyAqE5PYy7XrprrQ==" spinCount="100000" sheet="1" selectLockedCells="1"/>
  <mergeCells count="2">
    <mergeCell ref="B2:C2"/>
    <mergeCell ref="B3:C3"/>
  </mergeCells>
  <conditionalFormatting sqref="B10:D11">
    <cfRule type="expression" dxfId="1" priority="2">
      <formula>$C$9="No"</formula>
    </cfRule>
  </conditionalFormatting>
  <conditionalFormatting sqref="B17:D21 B23:D24">
    <cfRule type="expression" dxfId="0" priority="1">
      <formula>$C$16="No"</formula>
    </cfRule>
  </conditionalFormatting>
  <dataValidations count="2">
    <dataValidation type="list" allowBlank="1" showInputMessage="1" showErrorMessage="1" sqref="C17 C23 C24" xr:uid="{00000000-0002-0000-0500-000000000000}">
      <formula1>"N/A,Yes,No"</formula1>
    </dataValidation>
    <dataValidation type="list" allowBlank="1" showInputMessage="1" showErrorMessage="1" sqref="C13:C14 C16 C22 C9:C11 C18 C20 C5:C7" xr:uid="{00000000-0002-0000-0500-000001000000}">
      <formula1>"Yes,No"</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D49"/>
  <sheetViews>
    <sheetView showGridLines="0" zoomScaleNormal="100" workbookViewId="0"/>
  </sheetViews>
  <sheetFormatPr defaultRowHeight="13.2" x14ac:dyDescent="0.25"/>
  <cols>
    <col min="1" max="1" width="10.6640625" customWidth="1"/>
    <col min="2" max="2" width="68.88671875" style="1" customWidth="1"/>
    <col min="3" max="4" width="13.6640625" customWidth="1"/>
    <col min="7" max="7" width="11.109375" bestFit="1" customWidth="1"/>
  </cols>
  <sheetData>
    <row r="1" spans="2:4" ht="39.9" customHeight="1" thickBot="1" x14ac:dyDescent="0.3"/>
    <row r="2" spans="2:4" ht="64.5" customHeight="1" x14ac:dyDescent="0.25">
      <c r="B2" s="472" t="s">
        <v>105</v>
      </c>
      <c r="C2" s="473"/>
      <c r="D2" s="474"/>
    </row>
    <row r="3" spans="2:4" ht="15.75" customHeight="1" x14ac:dyDescent="0.25">
      <c r="B3" s="124">
        <f>PROFILE!C4</f>
        <v>0</v>
      </c>
      <c r="C3" s="482">
        <f>PROFILE!C5</f>
        <v>0</v>
      </c>
      <c r="D3" s="483"/>
    </row>
    <row r="4" spans="2:4" ht="15.75" customHeight="1" x14ac:dyDescent="0.25">
      <c r="B4" s="124">
        <f>PROFILE!C6</f>
        <v>0</v>
      </c>
      <c r="C4" s="480"/>
      <c r="D4" s="481"/>
    </row>
    <row r="5" spans="2:4" ht="15.75" customHeight="1" thickBot="1" x14ac:dyDescent="0.3">
      <c r="B5" s="125" t="str">
        <f>PROFILE!C10</f>
        <v>1 March 2024 - 28 February 2025</v>
      </c>
      <c r="C5" s="484"/>
      <c r="D5" s="485"/>
    </row>
    <row r="6" spans="2:4" ht="30" customHeight="1" thickBot="1" x14ac:dyDescent="0.3">
      <c r="B6" s="475" t="s">
        <v>39</v>
      </c>
      <c r="C6" s="476"/>
      <c r="D6" s="477"/>
    </row>
    <row r="7" spans="2:4" ht="15" customHeight="1" x14ac:dyDescent="0.25">
      <c r="B7" s="115"/>
      <c r="C7" s="116" t="s">
        <v>0</v>
      </c>
      <c r="D7" s="117" t="s">
        <v>1</v>
      </c>
    </row>
    <row r="8" spans="2:4" ht="15" customHeight="1" x14ac:dyDescent="0.25">
      <c r="B8" s="101" t="s">
        <v>36</v>
      </c>
      <c r="C8" s="102">
        <f>C21</f>
        <v>0</v>
      </c>
      <c r="D8" s="103" t="str">
        <f>D21</f>
        <v>N/A</v>
      </c>
    </row>
    <row r="9" spans="2:4" ht="15" customHeight="1" x14ac:dyDescent="0.25">
      <c r="B9" s="101" t="s">
        <v>37</v>
      </c>
      <c r="C9" s="102">
        <f>C30</f>
        <v>0</v>
      </c>
      <c r="D9" s="103">
        <f>D30</f>
        <v>0</v>
      </c>
    </row>
    <row r="10" spans="2:4" ht="15" customHeight="1" x14ac:dyDescent="0.25">
      <c r="B10" s="101" t="s">
        <v>38</v>
      </c>
      <c r="C10" s="102" t="str">
        <f>C47</f>
        <v>N/A</v>
      </c>
      <c r="D10" s="103" t="str">
        <f>D47</f>
        <v>N/A</v>
      </c>
    </row>
    <row r="11" spans="2:4" ht="15" customHeight="1" x14ac:dyDescent="0.25">
      <c r="B11" s="101" t="s">
        <v>40</v>
      </c>
      <c r="C11" s="104">
        <f>IFERROR(AVERAGE(C8:C10),"N/A")</f>
        <v>0</v>
      </c>
      <c r="D11" s="105">
        <f>IFERROR(AVERAGE(D8:D10),"N/A")</f>
        <v>0</v>
      </c>
    </row>
    <row r="12" spans="2:4" ht="15" customHeight="1" x14ac:dyDescent="0.25">
      <c r="B12" s="101" t="s">
        <v>182</v>
      </c>
      <c r="C12" s="478">
        <f>AVERAGE(C11:D11)</f>
        <v>0</v>
      </c>
      <c r="D12" s="479"/>
    </row>
    <row r="13" spans="2:4" ht="15" customHeight="1" x14ac:dyDescent="0.25">
      <c r="B13" s="101"/>
      <c r="C13" s="273"/>
      <c r="D13" s="274"/>
    </row>
    <row r="14" spans="2:4" ht="15" customHeight="1" thickBot="1" x14ac:dyDescent="0.3">
      <c r="B14" s="118"/>
      <c r="C14" s="119"/>
      <c r="D14" s="120"/>
    </row>
    <row r="15" spans="2:4" ht="30" customHeight="1" thickBot="1" x14ac:dyDescent="0.3">
      <c r="B15" s="475" t="s">
        <v>41</v>
      </c>
      <c r="C15" s="476"/>
      <c r="D15" s="477"/>
    </row>
    <row r="16" spans="2:4" ht="15" customHeight="1" x14ac:dyDescent="0.25">
      <c r="B16" s="121" t="s">
        <v>36</v>
      </c>
      <c r="C16" s="116" t="s">
        <v>0</v>
      </c>
      <c r="D16" s="117" t="s">
        <v>1</v>
      </c>
    </row>
    <row r="17" spans="2:4" ht="15" customHeight="1" x14ac:dyDescent="0.25">
      <c r="B17" s="106" t="s">
        <v>26</v>
      </c>
      <c r="C17" s="107">
        <f>PROSPERITY!C30</f>
        <v>0</v>
      </c>
      <c r="D17" s="108">
        <f>PROSPERITY!D30</f>
        <v>0</v>
      </c>
    </row>
    <row r="18" spans="2:4" ht="15" customHeight="1" x14ac:dyDescent="0.25">
      <c r="B18" s="106" t="s">
        <v>27</v>
      </c>
      <c r="C18" s="107" t="str">
        <f>PROSPERITY!C63</f>
        <v>N/A</v>
      </c>
      <c r="D18" s="108" t="e">
        <f>PROSPERITY!D63</f>
        <v>#DIV/0!</v>
      </c>
    </row>
    <row r="19" spans="2:4" ht="15" customHeight="1" x14ac:dyDescent="0.25">
      <c r="B19" s="106" t="s">
        <v>28</v>
      </c>
      <c r="C19" s="107" t="str">
        <f>PROSPERITY!C79</f>
        <v>N/A</v>
      </c>
      <c r="D19" s="108">
        <f>PROSPERITY!D79</f>
        <v>0</v>
      </c>
    </row>
    <row r="20" spans="2:4" ht="15" customHeight="1" x14ac:dyDescent="0.25">
      <c r="B20" s="106" t="s">
        <v>108</v>
      </c>
      <c r="C20" s="107">
        <f>PROSPERITY!C100</f>
        <v>0</v>
      </c>
      <c r="D20" s="108" t="str">
        <f>PROSPERITY!D100</f>
        <v>N/A</v>
      </c>
    </row>
    <row r="21" spans="2:4" ht="15" customHeight="1" x14ac:dyDescent="0.25">
      <c r="B21" s="101"/>
      <c r="C21" s="102">
        <f>IFERROR(AVERAGE(C17:C20),"N/A")</f>
        <v>0</v>
      </c>
      <c r="D21" s="103" t="str">
        <f>IFERROR(AVERAGE(D17:D20),"N/A")</f>
        <v>N/A</v>
      </c>
    </row>
    <row r="22" spans="2:4" ht="15" customHeight="1" x14ac:dyDescent="0.25">
      <c r="B22" s="112" t="s">
        <v>37</v>
      </c>
      <c r="C22" s="114" t="s">
        <v>0</v>
      </c>
      <c r="D22" s="113" t="s">
        <v>1</v>
      </c>
    </row>
    <row r="23" spans="2:4" ht="15" customHeight="1" x14ac:dyDescent="0.25">
      <c r="B23" s="106" t="s">
        <v>29</v>
      </c>
      <c r="C23" s="107">
        <f>PEOPLE!C61</f>
        <v>0</v>
      </c>
      <c r="D23" s="108" t="str">
        <f>PEOPLE!D61</f>
        <v>N/A</v>
      </c>
    </row>
    <row r="24" spans="2:4" ht="15" customHeight="1" x14ac:dyDescent="0.25">
      <c r="B24" s="106" t="s">
        <v>30</v>
      </c>
      <c r="C24" s="107" t="str">
        <f>PEOPLE!C101</f>
        <v>N/A</v>
      </c>
      <c r="D24" s="108" t="str">
        <f>PEOPLE!D101</f>
        <v>N/A</v>
      </c>
    </row>
    <row r="25" spans="2:4" ht="15" customHeight="1" x14ac:dyDescent="0.25">
      <c r="B25" s="106" t="s">
        <v>31</v>
      </c>
      <c r="C25" s="107">
        <f>PEOPLE!C110</f>
        <v>0</v>
      </c>
      <c r="D25" s="108" t="str">
        <f>PEOPLE!D110</f>
        <v>N/A</v>
      </c>
    </row>
    <row r="26" spans="2:4" ht="15" customHeight="1" x14ac:dyDescent="0.25">
      <c r="B26" s="106" t="s">
        <v>109</v>
      </c>
      <c r="C26" s="107" t="str">
        <f>PEOPLE!C120</f>
        <v>N/A</v>
      </c>
      <c r="D26" s="108">
        <f>PEOPLE!D120</f>
        <v>0</v>
      </c>
    </row>
    <row r="27" spans="2:4" ht="15" customHeight="1" x14ac:dyDescent="0.25">
      <c r="B27" s="106" t="s">
        <v>32</v>
      </c>
      <c r="C27" s="107" t="str">
        <f>PEOPLE!C129</f>
        <v>N/A</v>
      </c>
      <c r="D27" s="108" t="str">
        <f>PEOPLE!D129</f>
        <v>N/A</v>
      </c>
    </row>
    <row r="28" spans="2:4" ht="15" customHeight="1" x14ac:dyDescent="0.25">
      <c r="B28" s="106" t="s">
        <v>33</v>
      </c>
      <c r="C28" s="107" t="str">
        <f>PEOPLE!C141</f>
        <v>N/A</v>
      </c>
      <c r="D28" s="108">
        <f>PEOPLE!D141</f>
        <v>0</v>
      </c>
    </row>
    <row r="29" spans="2:4" ht="15" customHeight="1" x14ac:dyDescent="0.25">
      <c r="B29" s="106" t="s">
        <v>34</v>
      </c>
      <c r="C29" s="107" t="str">
        <f>PEOPLE!C148</f>
        <v/>
      </c>
      <c r="D29" s="108" t="str">
        <f>PEOPLE!D148</f>
        <v>N/A</v>
      </c>
    </row>
    <row r="30" spans="2:4" ht="15" customHeight="1" x14ac:dyDescent="0.25">
      <c r="B30" s="101"/>
      <c r="C30" s="102">
        <f>IFERROR(AVERAGE(C23:C29),"N/A")</f>
        <v>0</v>
      </c>
      <c r="D30" s="103">
        <f>IFERROR(AVERAGE(D23:D29),"N/A")</f>
        <v>0</v>
      </c>
    </row>
    <row r="31" spans="2:4" ht="15" customHeight="1" x14ac:dyDescent="0.25">
      <c r="B31" s="112" t="s">
        <v>38</v>
      </c>
      <c r="C31" s="114" t="s">
        <v>0</v>
      </c>
      <c r="D31" s="113" t="s">
        <v>1</v>
      </c>
    </row>
    <row r="32" spans="2:4" ht="15" customHeight="1" x14ac:dyDescent="0.25">
      <c r="B32" s="106" t="s">
        <v>894</v>
      </c>
      <c r="C32" s="107">
        <f>PLANET!C24</f>
        <v>0</v>
      </c>
      <c r="D32" s="108">
        <f>PLANET!D24</f>
        <v>0.15</v>
      </c>
    </row>
    <row r="33" spans="2:4" ht="15" customHeight="1" x14ac:dyDescent="0.25">
      <c r="B33" s="106" t="s">
        <v>867</v>
      </c>
      <c r="C33" s="107">
        <f>PLANET!C38</f>
        <v>0</v>
      </c>
      <c r="D33" s="108">
        <f>PLANET!D38</f>
        <v>0</v>
      </c>
    </row>
    <row r="34" spans="2:4" ht="15" customHeight="1" x14ac:dyDescent="0.25">
      <c r="B34" s="106" t="s">
        <v>865</v>
      </c>
      <c r="C34" s="107">
        <f>PLANET!C49</f>
        <v>0</v>
      </c>
      <c r="D34" s="108" t="str">
        <f>PLANET!D49</f>
        <v>N/A</v>
      </c>
    </row>
    <row r="35" spans="2:4" ht="15" customHeight="1" x14ac:dyDescent="0.25">
      <c r="B35" s="106" t="s">
        <v>866</v>
      </c>
      <c r="C35" s="107">
        <f>PLANET!C83</f>
        <v>0</v>
      </c>
      <c r="D35" s="108">
        <f>PLANET!D83</f>
        <v>6.6666666666666666E-2</v>
      </c>
    </row>
    <row r="36" spans="2:4" ht="15" customHeight="1" x14ac:dyDescent="0.25">
      <c r="B36" s="106" t="s">
        <v>868</v>
      </c>
      <c r="C36" s="107" t="str">
        <f>PLANET!C95</f>
        <v>N/A</v>
      </c>
      <c r="D36" s="108" t="str">
        <f>PLANET!D95</f>
        <v>N/A</v>
      </c>
    </row>
    <row r="37" spans="2:4" ht="15" customHeight="1" x14ac:dyDescent="0.25">
      <c r="B37" s="106" t="s">
        <v>869</v>
      </c>
      <c r="C37" s="107">
        <f>PLANET!C105</f>
        <v>0</v>
      </c>
      <c r="D37" s="108">
        <f>PLANET!D105</f>
        <v>0</v>
      </c>
    </row>
    <row r="38" spans="2:4" ht="15" customHeight="1" x14ac:dyDescent="0.25">
      <c r="B38" s="106" t="s">
        <v>870</v>
      </c>
      <c r="C38" s="107">
        <f>PLANET!C116</f>
        <v>0</v>
      </c>
      <c r="D38" s="108" t="str">
        <f>PLANET!D116</f>
        <v>N/A</v>
      </c>
    </row>
    <row r="39" spans="2:4" ht="15" customHeight="1" x14ac:dyDescent="0.25">
      <c r="B39" s="106" t="s">
        <v>871</v>
      </c>
      <c r="C39" s="107">
        <f>PLANET!C141</f>
        <v>0.6</v>
      </c>
      <c r="D39" s="107">
        <f>PLANET!D141</f>
        <v>0.5</v>
      </c>
    </row>
    <row r="40" spans="2:4" ht="15" customHeight="1" x14ac:dyDescent="0.25">
      <c r="B40" s="106" t="s">
        <v>872</v>
      </c>
      <c r="C40" s="107" t="str">
        <f>PLANET!C188</f>
        <v>N/A</v>
      </c>
      <c r="D40" s="107" t="e">
        <f>PLANET!D188</f>
        <v>#N/A</v>
      </c>
    </row>
    <row r="41" spans="2:4" ht="15" customHeight="1" x14ac:dyDescent="0.25">
      <c r="B41" s="256" t="s">
        <v>873</v>
      </c>
      <c r="C41" s="107" t="e">
        <f>PLANET!C227</f>
        <v>#N/A</v>
      </c>
      <c r="D41" s="107" t="e">
        <f>PLANET!D227</f>
        <v>#N/A</v>
      </c>
    </row>
    <row r="42" spans="2:4" ht="15" customHeight="1" x14ac:dyDescent="0.25">
      <c r="B42" s="106" t="s">
        <v>874</v>
      </c>
      <c r="C42" s="107" t="str">
        <f>PLANET!C265</f>
        <v>N/A</v>
      </c>
      <c r="D42" s="107" t="str">
        <f>PLANET!D265</f>
        <v>N/A</v>
      </c>
    </row>
    <row r="43" spans="2:4" ht="15" customHeight="1" x14ac:dyDescent="0.25">
      <c r="B43" s="106" t="s">
        <v>875</v>
      </c>
      <c r="C43" s="107" t="str">
        <f>PLANET!C299</f>
        <v>N/A</v>
      </c>
      <c r="D43" s="107" t="e">
        <f>PLANET!D299</f>
        <v>#N/A</v>
      </c>
    </row>
    <row r="44" spans="2:4" ht="15" customHeight="1" x14ac:dyDescent="0.25">
      <c r="B44" s="106" t="s">
        <v>876</v>
      </c>
      <c r="C44" s="107">
        <f>PLANET!C355</f>
        <v>0</v>
      </c>
      <c r="D44" s="107">
        <f>PLANET!D355</f>
        <v>0</v>
      </c>
    </row>
    <row r="45" spans="2:4" ht="15" customHeight="1" x14ac:dyDescent="0.25">
      <c r="B45" s="106" t="s">
        <v>35</v>
      </c>
      <c r="C45" s="107" t="e">
        <f>PLANET!C390</f>
        <v>#N/A</v>
      </c>
      <c r="D45" s="107" t="e">
        <f>PLANET!D390</f>
        <v>#N/A</v>
      </c>
    </row>
    <row r="46" spans="2:4" ht="15" customHeight="1" x14ac:dyDescent="0.25">
      <c r="B46" s="106" t="s">
        <v>877</v>
      </c>
      <c r="C46" s="107">
        <f>PLANET!C412</f>
        <v>0</v>
      </c>
      <c r="D46" s="108" t="e">
        <f>PLANET!D412</f>
        <v>#N/A</v>
      </c>
    </row>
    <row r="47" spans="2:4" ht="15" customHeight="1" thickBot="1" x14ac:dyDescent="0.3">
      <c r="B47" s="109"/>
      <c r="C47" s="110" t="str">
        <f>IFERROR(AVERAGE(C32:C46),"N/A")</f>
        <v>N/A</v>
      </c>
      <c r="D47" s="111" t="str">
        <f>IFERROR(AVERAGE(D32:D46),"N/A")</f>
        <v>N/A</v>
      </c>
    </row>
    <row r="49" spans="1:2" x14ac:dyDescent="0.25">
      <c r="A49" s="8"/>
      <c r="B49" s="9"/>
    </row>
  </sheetData>
  <sheetProtection algorithmName="SHA-512" hashValue="CGy1Bbc/dNp/6u6lgMUdwC0KmggvF6wnavdwYyBjfTnB+Wt+imnxYJW2VPL37HZJWYeCEIPhhi7oyRpQv6lS4g==" saltValue="f8E2oUNR8M8Qenyn5pCABw==" spinCount="100000" sheet="1" selectLockedCells="1" selectUnlockedCells="1"/>
  <mergeCells count="7">
    <mergeCell ref="B2:D2"/>
    <mergeCell ref="B6:D6"/>
    <mergeCell ref="B15:D15"/>
    <mergeCell ref="C12:D12"/>
    <mergeCell ref="C4:D4"/>
    <mergeCell ref="C3:D3"/>
    <mergeCell ref="C5:D5"/>
  </mergeCells>
  <pageMargins left="0.7" right="0.7" top="0.75" bottom="0.75" header="0.3" footer="0.3"/>
  <pageSetup paperSize="9" fitToHeight="0" orientation="landscape" r:id="rId1"/>
  <ignoredErrors>
    <ignoredError sqref="C12"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569"/>
  <sheetViews>
    <sheetView zoomScale="120" zoomScaleNormal="120" workbookViewId="0">
      <selection activeCell="A446" sqref="A446:A549"/>
    </sheetView>
  </sheetViews>
  <sheetFormatPr defaultRowHeight="13.2" x14ac:dyDescent="0.25"/>
  <cols>
    <col min="1" max="1" width="49.6640625" customWidth="1"/>
    <col min="2" max="2" width="32.44140625" customWidth="1"/>
    <col min="3" max="3" width="22" bestFit="1" customWidth="1"/>
    <col min="4" max="4" width="23.6640625" customWidth="1"/>
    <col min="5" max="5" width="38.33203125" customWidth="1"/>
    <col min="6" max="6" width="21.88671875" bestFit="1" customWidth="1"/>
    <col min="7" max="7" width="10.33203125" customWidth="1"/>
    <col min="8" max="8" width="10.88671875" bestFit="1" customWidth="1"/>
    <col min="10" max="10" width="11.33203125" bestFit="1" customWidth="1"/>
    <col min="11" max="11" width="8.109375" bestFit="1" customWidth="1"/>
    <col min="12" max="12" width="12.88671875" bestFit="1" customWidth="1"/>
    <col min="13" max="13" width="13.44140625" bestFit="1" customWidth="1"/>
  </cols>
  <sheetData>
    <row r="1" spans="1:7" ht="14.4" x14ac:dyDescent="0.3">
      <c r="A1" s="98" t="s">
        <v>288</v>
      </c>
      <c r="E1" s="7" t="s">
        <v>373</v>
      </c>
      <c r="F1" s="486" t="s">
        <v>854</v>
      </c>
      <c r="G1" s="487"/>
    </row>
    <row r="2" spans="1:7" x14ac:dyDescent="0.25">
      <c r="F2" t="s">
        <v>1199</v>
      </c>
      <c r="G2">
        <v>0</v>
      </c>
    </row>
    <row r="3" spans="1:7" x14ac:dyDescent="0.25">
      <c r="A3" t="s">
        <v>200</v>
      </c>
      <c r="B3" s="3" t="str">
        <f>IF(PROFILE!C40 = "Unknown", "Unknown",PROFILE!D40 )</f>
        <v>Unknown</v>
      </c>
      <c r="C3" t="s">
        <v>280</v>
      </c>
      <c r="F3" t="s">
        <v>1200</v>
      </c>
      <c r="G3">
        <v>0.25</v>
      </c>
    </row>
    <row r="4" spans="1:7" x14ac:dyDescent="0.25">
      <c r="A4" t="s">
        <v>285</v>
      </c>
      <c r="B4" s="3">
        <f>PROFILE!C33</f>
        <v>0</v>
      </c>
      <c r="C4" t="s">
        <v>279</v>
      </c>
      <c r="F4" t="s">
        <v>853</v>
      </c>
      <c r="G4">
        <v>0.5</v>
      </c>
    </row>
    <row r="5" spans="1:7" x14ac:dyDescent="0.25">
      <c r="A5" t="s">
        <v>281</v>
      </c>
      <c r="B5" s="3" t="e">
        <f>(B3/100)*9*B4</f>
        <v>#VALUE!</v>
      </c>
      <c r="C5" t="s">
        <v>286</v>
      </c>
      <c r="F5" t="s">
        <v>1205</v>
      </c>
      <c r="G5">
        <v>0.75</v>
      </c>
    </row>
    <row r="6" spans="1:7" x14ac:dyDescent="0.25">
      <c r="B6" s="3"/>
      <c r="F6" t="s">
        <v>1206</v>
      </c>
      <c r="G6">
        <v>0.9</v>
      </c>
    </row>
    <row r="7" spans="1:7" x14ac:dyDescent="0.25">
      <c r="A7" t="s">
        <v>278</v>
      </c>
      <c r="B7" s="3" t="str">
        <f>IF(PROFILE!C41="Unknown","Unknown",IF(PROFILE!D41="N/A",0,PROFILE!D41))</f>
        <v>Unknown</v>
      </c>
      <c r="C7" t="s">
        <v>201</v>
      </c>
      <c r="D7" s="7"/>
      <c r="E7" s="205" t="s">
        <v>392</v>
      </c>
      <c r="F7" t="s">
        <v>855</v>
      </c>
      <c r="G7">
        <v>1</v>
      </c>
    </row>
    <row r="8" spans="1:7" x14ac:dyDescent="0.25">
      <c r="A8" t="s">
        <v>277</v>
      </c>
      <c r="B8" s="3">
        <f>PROFILE!C15+PROFILE!C16</f>
        <v>0</v>
      </c>
      <c r="C8" t="s">
        <v>279</v>
      </c>
    </row>
    <row r="9" spans="1:7" x14ac:dyDescent="0.25">
      <c r="A9" t="s">
        <v>284</v>
      </c>
      <c r="B9" s="3">
        <f>IFERROR(IF(B8=0,0,(B7/B8)/10),"Unknown")</f>
        <v>0</v>
      </c>
      <c r="C9" t="s">
        <v>280</v>
      </c>
      <c r="E9" s="205" t="s">
        <v>393</v>
      </c>
      <c r="F9" t="s">
        <v>1201</v>
      </c>
      <c r="G9">
        <v>0</v>
      </c>
    </row>
    <row r="10" spans="1:7" x14ac:dyDescent="0.25">
      <c r="A10" t="s">
        <v>283</v>
      </c>
      <c r="B10" s="3">
        <f>IFERROR(IF(B8=0,0,(B3+B9)/100*9*B8),"Unknown")</f>
        <v>0</v>
      </c>
      <c r="C10" t="s">
        <v>286</v>
      </c>
      <c r="E10" s="205" t="s">
        <v>393</v>
      </c>
      <c r="F10" t="s">
        <v>1202</v>
      </c>
      <c r="G10">
        <v>0.33</v>
      </c>
    </row>
    <row r="11" spans="1:7" x14ac:dyDescent="0.25">
      <c r="B11" s="3"/>
      <c r="F11" t="s">
        <v>858</v>
      </c>
      <c r="G11">
        <v>0.66</v>
      </c>
    </row>
    <row r="12" spans="1:7" x14ac:dyDescent="0.25">
      <c r="A12" t="s">
        <v>302</v>
      </c>
      <c r="B12" s="3" t="e">
        <f>((B5+B10)/(B4+B8))</f>
        <v>#VALUE!</v>
      </c>
      <c r="C12" t="s">
        <v>282</v>
      </c>
      <c r="F12" t="s">
        <v>1204</v>
      </c>
      <c r="G12">
        <v>0.99</v>
      </c>
    </row>
    <row r="13" spans="1:7" x14ac:dyDescent="0.25">
      <c r="A13" t="s">
        <v>287</v>
      </c>
      <c r="B13" s="3" t="e">
        <f>PROFILE!D37/PROFILE!C37</f>
        <v>#DIV/0!</v>
      </c>
      <c r="C13" t="s">
        <v>282</v>
      </c>
      <c r="F13" t="s">
        <v>855</v>
      </c>
      <c r="G13">
        <v>1</v>
      </c>
    </row>
    <row r="14" spans="1:7" x14ac:dyDescent="0.25">
      <c r="B14" s="3"/>
    </row>
    <row r="15" spans="1:7" x14ac:dyDescent="0.25">
      <c r="A15" t="s">
        <v>288</v>
      </c>
      <c r="B15" s="19" t="str">
        <f>IF(OR(B3="Unknown",B7="Unknown"),"Unknown",IF(B13&gt;=B12,1,B13/B12))</f>
        <v>Unknown</v>
      </c>
      <c r="F15" t="s">
        <v>47</v>
      </c>
      <c r="G15" t="s">
        <v>47</v>
      </c>
    </row>
    <row r="16" spans="1:7" x14ac:dyDescent="0.25">
      <c r="F16" t="s">
        <v>1201</v>
      </c>
      <c r="G16" s="19">
        <v>0</v>
      </c>
    </row>
    <row r="17" spans="1:7" x14ac:dyDescent="0.25">
      <c r="F17" t="s">
        <v>857</v>
      </c>
      <c r="G17">
        <v>0.33</v>
      </c>
    </row>
    <row r="18" spans="1:7" x14ac:dyDescent="0.25">
      <c r="A18" s="33" t="s">
        <v>303</v>
      </c>
      <c r="F18" t="s">
        <v>859</v>
      </c>
      <c r="G18">
        <v>0.66</v>
      </c>
    </row>
    <row r="19" spans="1:7" x14ac:dyDescent="0.25">
      <c r="A19" t="s">
        <v>332</v>
      </c>
      <c r="B19" s="3">
        <f>PROFILE!D31+PROFILE!D32</f>
        <v>0</v>
      </c>
      <c r="F19" t="s">
        <v>1203</v>
      </c>
      <c r="G19">
        <v>0.99</v>
      </c>
    </row>
    <row r="20" spans="1:7" x14ac:dyDescent="0.25">
      <c r="A20" t="s">
        <v>333</v>
      </c>
      <c r="B20" s="3">
        <f>PROFILE!C31+PROFILE!C32</f>
        <v>0</v>
      </c>
      <c r="F20" t="s">
        <v>860</v>
      </c>
      <c r="G20">
        <v>1</v>
      </c>
    </row>
    <row r="21" spans="1:7" x14ac:dyDescent="0.25">
      <c r="A21" t="s">
        <v>334</v>
      </c>
      <c r="B21" s="3">
        <f>IF(B20=0,0,B19/B20)</f>
        <v>0</v>
      </c>
      <c r="C21" t="s">
        <v>282</v>
      </c>
      <c r="E21" s="205" t="s">
        <v>394</v>
      </c>
    </row>
    <row r="22" spans="1:7" x14ac:dyDescent="0.25">
      <c r="A22" t="s">
        <v>335</v>
      </c>
      <c r="B22">
        <f>IF(B20=0,0,B3/100*9)</f>
        <v>0</v>
      </c>
      <c r="C22" t="s">
        <v>282</v>
      </c>
      <c r="E22" s="205" t="s">
        <v>394</v>
      </c>
    </row>
    <row r="23" spans="1:7" x14ac:dyDescent="0.25">
      <c r="A23" t="s">
        <v>336</v>
      </c>
      <c r="B23" s="3">
        <f>B21-B22</f>
        <v>0</v>
      </c>
      <c r="C23" t="s">
        <v>282</v>
      </c>
    </row>
    <row r="24" spans="1:7" x14ac:dyDescent="0.25">
      <c r="A24" t="s">
        <v>337</v>
      </c>
      <c r="B24" s="3">
        <f>B9/100*9</f>
        <v>0</v>
      </c>
      <c r="C24" t="s">
        <v>282</v>
      </c>
    </row>
    <row r="26" spans="1:7" x14ac:dyDescent="0.25">
      <c r="A26" t="s">
        <v>304</v>
      </c>
      <c r="B26" s="19" t="str">
        <f>IFERROR(  IF(B20=0,"N/A",IF(B23&gt;=B24,1,IF(B23/B24&lt;0,0,B23/B24))),"Unknown")</f>
        <v>N/A</v>
      </c>
      <c r="E26" s="205" t="s">
        <v>393</v>
      </c>
    </row>
    <row r="31" spans="1:7" ht="14.4" x14ac:dyDescent="0.3">
      <c r="A31" s="98" t="s">
        <v>120</v>
      </c>
    </row>
    <row r="33" spans="1:4" x14ac:dyDescent="0.25">
      <c r="A33" s="100" t="s">
        <v>121</v>
      </c>
    </row>
    <row r="34" spans="1:4" x14ac:dyDescent="0.25">
      <c r="A34" t="s">
        <v>292</v>
      </c>
      <c r="B34" t="str">
        <f>IF(PROFILE!C42="Unknown", "Unknown",PROFILE!D42)</f>
        <v>Unknown</v>
      </c>
      <c r="C34" t="s">
        <v>289</v>
      </c>
    </row>
    <row r="35" spans="1:4" x14ac:dyDescent="0.25">
      <c r="A35" t="s">
        <v>122</v>
      </c>
      <c r="B35">
        <v>37</v>
      </c>
    </row>
    <row r="36" spans="1:4" x14ac:dyDescent="0.25">
      <c r="B36" s="13" t="e">
        <f>B34*B35</f>
        <v>#VALUE!</v>
      </c>
      <c r="C36" t="s">
        <v>298</v>
      </c>
    </row>
    <row r="37" spans="1:4" x14ac:dyDescent="0.25">
      <c r="A37" t="s">
        <v>293</v>
      </c>
      <c r="B37" t="str">
        <f>IF(PROFILE!C44="Unknown", "Unknown",PROFILE!D44)</f>
        <v>Unknown</v>
      </c>
      <c r="C37" s="22" t="s">
        <v>296</v>
      </c>
    </row>
    <row r="38" spans="1:4" x14ac:dyDescent="0.25">
      <c r="A38" t="s">
        <v>122</v>
      </c>
      <c r="B38">
        <v>3.6</v>
      </c>
    </row>
    <row r="39" spans="1:4" x14ac:dyDescent="0.25">
      <c r="B39" s="13" t="e">
        <f>B37*B38</f>
        <v>#VALUE!</v>
      </c>
    </row>
    <row r="40" spans="1:4" x14ac:dyDescent="0.25">
      <c r="A40" t="s">
        <v>128</v>
      </c>
      <c r="B40" t="e">
        <f>B36+B39</f>
        <v>#VALUE!</v>
      </c>
      <c r="C40" t="s">
        <v>298</v>
      </c>
    </row>
    <row r="41" spans="1:4" x14ac:dyDescent="0.25">
      <c r="A41" t="s">
        <v>294</v>
      </c>
      <c r="B41" s="3">
        <f>PROFILE!D37</f>
        <v>0</v>
      </c>
      <c r="C41" t="s">
        <v>286</v>
      </c>
    </row>
    <row r="42" spans="1:4" x14ac:dyDescent="0.25">
      <c r="A42" t="s">
        <v>126</v>
      </c>
      <c r="B42" s="20" t="str">
        <f>IF(OR(B34="Unknown",B37="Unknown"),"Unknown",B40/B41)</f>
        <v>Unknown</v>
      </c>
      <c r="C42" t="s">
        <v>297</v>
      </c>
    </row>
    <row r="45" spans="1:4" x14ac:dyDescent="0.25">
      <c r="A45" s="100" t="s">
        <v>123</v>
      </c>
    </row>
    <row r="46" spans="1:4" x14ac:dyDescent="0.25">
      <c r="B46" t="s">
        <v>132</v>
      </c>
      <c r="C46" t="s">
        <v>122</v>
      </c>
    </row>
    <row r="47" spans="1:4" x14ac:dyDescent="0.25">
      <c r="A47" t="s">
        <v>134</v>
      </c>
      <c r="B47" t="str">
        <f>IF(PROFILE!C45="Unknown","Unknown",PROFILE!D45*1000)</f>
        <v>Unknown</v>
      </c>
      <c r="C47" s="21">
        <v>56.9</v>
      </c>
      <c r="D47" t="e">
        <f>B47*C47</f>
        <v>#VALUE!</v>
      </c>
    </row>
    <row r="48" spans="1:4" x14ac:dyDescent="0.25">
      <c r="A48" t="s">
        <v>135</v>
      </c>
      <c r="B48" t="str">
        <f>IF(PROFILE!C46="Unknown","Unknown",PROFILE!D46*1000)</f>
        <v>Unknown</v>
      </c>
      <c r="C48" s="21">
        <v>9.3000000000000007</v>
      </c>
      <c r="D48" t="e">
        <f>B48*C48</f>
        <v>#VALUE!</v>
      </c>
    </row>
    <row r="49" spans="1:5" x14ac:dyDescent="0.25">
      <c r="A49" t="s">
        <v>133</v>
      </c>
      <c r="B49" t="str">
        <f>IF(PROFILE!C47="Unknown","Unknown",PROFILE!D47*1000)</f>
        <v>Unknown</v>
      </c>
      <c r="C49" s="21">
        <v>7</v>
      </c>
      <c r="D49" t="e">
        <f>B49*C49</f>
        <v>#VALUE!</v>
      </c>
    </row>
    <row r="50" spans="1:5" x14ac:dyDescent="0.25">
      <c r="A50" t="s">
        <v>361</v>
      </c>
      <c r="B50" t="str">
        <f>IF(PROFILE!C48="Unknown","Unknown",PROFILE!D48*1000)</f>
        <v>Unknown</v>
      </c>
      <c r="C50" s="21">
        <v>0.12</v>
      </c>
      <c r="D50" t="e">
        <f>B50*C50</f>
        <v>#VALUE!</v>
      </c>
    </row>
    <row r="51" spans="1:5" x14ac:dyDescent="0.25">
      <c r="A51" t="s">
        <v>205</v>
      </c>
      <c r="B51">
        <f>IF(PROFILE!C50="Unknown","Unknown",PROFILE!C84)</f>
        <v>0</v>
      </c>
      <c r="C51" s="21">
        <v>357</v>
      </c>
      <c r="D51">
        <f>B51*C51</f>
        <v>0</v>
      </c>
    </row>
    <row r="52" spans="1:5" x14ac:dyDescent="0.25">
      <c r="C52" s="14"/>
    </row>
    <row r="53" spans="1:5" x14ac:dyDescent="0.25">
      <c r="A53" t="s">
        <v>40</v>
      </c>
      <c r="B53" s="13" t="str">
        <f>IF(COUNTIF(B47:B51,"Unknown")&gt;0,"Unknown",SUM(B47:B51))</f>
        <v>Unknown</v>
      </c>
      <c r="D53" s="12" t="e">
        <f>SUM(D47:D51)</f>
        <v>#VALUE!</v>
      </c>
      <c r="E53" t="s">
        <v>298</v>
      </c>
    </row>
    <row r="54" spans="1:5" x14ac:dyDescent="0.25">
      <c r="A54" t="s">
        <v>294</v>
      </c>
      <c r="B54" s="3">
        <f>PROFILE!D37</f>
        <v>0</v>
      </c>
      <c r="D54" s="3">
        <f>PROFILE!D37</f>
        <v>0</v>
      </c>
    </row>
    <row r="55" spans="1:5" x14ac:dyDescent="0.25">
      <c r="A55" t="s">
        <v>127</v>
      </c>
      <c r="B55" s="16" t="str">
        <f>IF(B53="Unknown","Unknown",D53/D54)</f>
        <v>Unknown</v>
      </c>
      <c r="C55" t="s">
        <v>297</v>
      </c>
      <c r="E55" s="7"/>
    </row>
    <row r="58" spans="1:5" x14ac:dyDescent="0.25">
      <c r="A58" s="100" t="s">
        <v>129</v>
      </c>
    </row>
    <row r="59" spans="1:5" x14ac:dyDescent="0.25">
      <c r="A59" t="s">
        <v>125</v>
      </c>
      <c r="B59" t="str">
        <f>B53</f>
        <v>Unknown</v>
      </c>
    </row>
    <row r="60" spans="1:5" x14ac:dyDescent="0.25">
      <c r="A60" t="s">
        <v>122</v>
      </c>
      <c r="B60">
        <v>0.64</v>
      </c>
      <c r="D60">
        <f>CALCULATORS!B1</f>
        <v>0</v>
      </c>
    </row>
    <row r="61" spans="1:5" x14ac:dyDescent="0.25">
      <c r="A61" t="s">
        <v>295</v>
      </c>
      <c r="B61" s="15" t="e">
        <f>B54/PROFILE!C37</f>
        <v>#DIV/0!</v>
      </c>
    </row>
    <row r="62" spans="1:5" x14ac:dyDescent="0.25">
      <c r="A62" t="s">
        <v>124</v>
      </c>
      <c r="B62" s="20" t="str">
        <f>IF(B59="Unknown","Unknown",(B59*B60)/B61)</f>
        <v>Unknown</v>
      </c>
      <c r="C62" t="s">
        <v>297</v>
      </c>
    </row>
    <row r="64" spans="1:5" x14ac:dyDescent="0.25">
      <c r="A64" t="s">
        <v>130</v>
      </c>
      <c r="B64" s="20" t="str">
        <f>IF(OR(B42="Unknown",B55="Unknown",B62="Unknown"),"Unknown",B42+B55+B62)</f>
        <v>Unknown</v>
      </c>
      <c r="C64" t="s">
        <v>297</v>
      </c>
      <c r="D64" s="261" t="str">
        <f>TEXT(B64,"#######")</f>
        <v>Unknown</v>
      </c>
      <c r="E64" t="s">
        <v>878</v>
      </c>
    </row>
    <row r="65" spans="1:5" x14ac:dyDescent="0.25">
      <c r="B65" s="16">
        <f>IF(B64&lt;=300,1,IF(B64&lt;600,(100-B64/6)*0.02,0))</f>
        <v>0</v>
      </c>
    </row>
    <row r="67" spans="1:5" ht="14.4" x14ac:dyDescent="0.3">
      <c r="A67" s="98" t="s">
        <v>131</v>
      </c>
    </row>
    <row r="68" spans="1:5" x14ac:dyDescent="0.25">
      <c r="D68" s="16"/>
    </row>
    <row r="69" spans="1:5" x14ac:dyDescent="0.25">
      <c r="A69" t="s">
        <v>290</v>
      </c>
      <c r="B69" t="str">
        <f>IF(PROFILE!C43="Unknown","Unknown",PROFILE!D43)</f>
        <v>Unknown</v>
      </c>
      <c r="C69" t="s">
        <v>289</v>
      </c>
    </row>
    <row r="70" spans="1:5" x14ac:dyDescent="0.25">
      <c r="A70" t="s">
        <v>122</v>
      </c>
      <c r="B70">
        <v>37</v>
      </c>
    </row>
    <row r="71" spans="1:5" x14ac:dyDescent="0.25">
      <c r="A71" t="s">
        <v>291</v>
      </c>
      <c r="B71" s="3">
        <f>PROFILE!D37</f>
        <v>0</v>
      </c>
    </row>
    <row r="72" spans="1:5" x14ac:dyDescent="0.25">
      <c r="B72" s="20" t="str">
        <f>IF(B69="Unknown","Unknown",(B69*B70)/B71)</f>
        <v>Unknown</v>
      </c>
      <c r="C72" t="s">
        <v>297</v>
      </c>
      <c r="D72" s="261" t="str">
        <f>TEXT(B72,"###.#")</f>
        <v>Unknown</v>
      </c>
      <c r="E72" t="s">
        <v>878</v>
      </c>
    </row>
    <row r="73" spans="1:5" x14ac:dyDescent="0.25">
      <c r="B73" s="16">
        <f>IF(B72&lt;=50,1,IF(B72&lt;100,(100-B72)*0.02,0))</f>
        <v>0</v>
      </c>
    </row>
    <row r="75" spans="1:5" ht="14.4" x14ac:dyDescent="0.3">
      <c r="A75" s="98" t="s">
        <v>327</v>
      </c>
    </row>
    <row r="76" spans="1:5" x14ac:dyDescent="0.25">
      <c r="A76" t="s">
        <v>328</v>
      </c>
      <c r="B76">
        <f>IF(PROFILE!C50="Unknown","Unknown",PROFILE!E84)</f>
        <v>0</v>
      </c>
      <c r="C76" t="s">
        <v>329</v>
      </c>
    </row>
    <row r="77" spans="1:5" x14ac:dyDescent="0.25">
      <c r="A77" t="s">
        <v>380</v>
      </c>
      <c r="B77">
        <f>PROFILE!C18</f>
        <v>0</v>
      </c>
      <c r="C77" t="s">
        <v>279</v>
      </c>
      <c r="E77" s="7"/>
    </row>
    <row r="78" spans="1:5" x14ac:dyDescent="0.25">
      <c r="B78" s="20" t="e">
        <f>IF(B76="Unknown","Unknown",B76/B77/1000)</f>
        <v>#DIV/0!</v>
      </c>
      <c r="C78" t="s">
        <v>330</v>
      </c>
      <c r="D78" s="261" t="e">
        <f>TEXT(B78,"####.##")</f>
        <v>#DIV/0!</v>
      </c>
      <c r="E78" t="s">
        <v>878</v>
      </c>
    </row>
    <row r="79" spans="1:5" x14ac:dyDescent="0.25">
      <c r="A79" t="s">
        <v>863</v>
      </c>
      <c r="B79" s="12" t="e">
        <f>IF(B78&lt;5,1,IF(B78&lt;10,(10-B78)*0.2,0))</f>
        <v>#DIV/0!</v>
      </c>
      <c r="C79" t="s">
        <v>864</v>
      </c>
    </row>
    <row r="80" spans="1:5" x14ac:dyDescent="0.25">
      <c r="D80" s="13"/>
    </row>
    <row r="81" spans="1:2" ht="14.4" x14ac:dyDescent="0.3">
      <c r="A81" s="310" t="s">
        <v>1231</v>
      </c>
    </row>
    <row r="82" spans="1:2" x14ac:dyDescent="0.25">
      <c r="A82" s="311" t="s">
        <v>1232</v>
      </c>
      <c r="B82" s="312">
        <v>480</v>
      </c>
    </row>
    <row r="83" spans="1:2" x14ac:dyDescent="0.25">
      <c r="A83" s="311" t="s">
        <v>1233</v>
      </c>
      <c r="B83" s="312">
        <v>480</v>
      </c>
    </row>
    <row r="84" spans="1:2" x14ac:dyDescent="0.25">
      <c r="A84" s="311" t="s">
        <v>1234</v>
      </c>
      <c r="B84" s="312">
        <v>480</v>
      </c>
    </row>
    <row r="85" spans="1:2" x14ac:dyDescent="0.25">
      <c r="A85" s="313" t="s">
        <v>1428</v>
      </c>
      <c r="B85" s="312">
        <v>800</v>
      </c>
    </row>
    <row r="86" spans="1:2" x14ac:dyDescent="0.25">
      <c r="A86" s="313" t="s">
        <v>1429</v>
      </c>
      <c r="B86" s="312">
        <v>500</v>
      </c>
    </row>
    <row r="87" spans="1:2" x14ac:dyDescent="0.25">
      <c r="A87" s="313" t="s">
        <v>1587</v>
      </c>
      <c r="B87" s="312">
        <v>500</v>
      </c>
    </row>
    <row r="88" spans="1:2" x14ac:dyDescent="0.25">
      <c r="A88" s="311" t="s">
        <v>852</v>
      </c>
      <c r="B88" s="312">
        <v>125</v>
      </c>
    </row>
    <row r="89" spans="1:2" x14ac:dyDescent="0.25">
      <c r="A89" s="314" t="s">
        <v>800</v>
      </c>
      <c r="B89" s="315">
        <v>700</v>
      </c>
    </row>
    <row r="90" spans="1:2" x14ac:dyDescent="0.25">
      <c r="A90" s="314" t="s">
        <v>1235</v>
      </c>
      <c r="B90" s="315">
        <v>900</v>
      </c>
    </row>
    <row r="91" spans="1:2" x14ac:dyDescent="0.25">
      <c r="A91" s="316" t="s">
        <v>1588</v>
      </c>
      <c r="B91" s="315">
        <v>700</v>
      </c>
    </row>
    <row r="92" spans="1:2" x14ac:dyDescent="0.25">
      <c r="A92" s="314" t="s">
        <v>1589</v>
      </c>
      <c r="B92" s="315">
        <v>700</v>
      </c>
    </row>
    <row r="93" spans="1:2" x14ac:dyDescent="0.25">
      <c r="A93" s="316" t="s">
        <v>1430</v>
      </c>
      <c r="B93" s="315">
        <v>700</v>
      </c>
    </row>
    <row r="94" spans="1:2" x14ac:dyDescent="0.25">
      <c r="A94" s="314" t="s">
        <v>1431</v>
      </c>
      <c r="B94" s="315">
        <v>750</v>
      </c>
    </row>
    <row r="95" spans="1:2" x14ac:dyDescent="0.25">
      <c r="A95" s="311" t="s">
        <v>1590</v>
      </c>
      <c r="B95" s="312">
        <v>900</v>
      </c>
    </row>
    <row r="96" spans="1:2" x14ac:dyDescent="0.25">
      <c r="A96" s="313" t="s">
        <v>1591</v>
      </c>
      <c r="B96" s="312">
        <v>900</v>
      </c>
    </row>
    <row r="97" spans="1:3" x14ac:dyDescent="0.25">
      <c r="A97" s="313" t="s">
        <v>1432</v>
      </c>
      <c r="B97" s="312">
        <v>700</v>
      </c>
      <c r="C97" s="7"/>
    </row>
    <row r="98" spans="1:3" x14ac:dyDescent="0.25">
      <c r="A98" s="313" t="s">
        <v>1433</v>
      </c>
      <c r="B98" s="312">
        <v>900</v>
      </c>
    </row>
    <row r="99" spans="1:3" x14ac:dyDescent="0.25">
      <c r="A99" s="313" t="s">
        <v>1434</v>
      </c>
      <c r="B99" s="312">
        <v>768</v>
      </c>
    </row>
    <row r="100" spans="1:3" x14ac:dyDescent="0.25">
      <c r="A100" s="313" t="s">
        <v>1435</v>
      </c>
      <c r="B100" s="312">
        <v>240</v>
      </c>
    </row>
    <row r="101" spans="1:3" x14ac:dyDescent="0.25">
      <c r="A101" s="314" t="s">
        <v>1236</v>
      </c>
      <c r="B101" s="315">
        <v>480</v>
      </c>
    </row>
    <row r="102" spans="1:3" x14ac:dyDescent="0.25">
      <c r="A102" s="313" t="s">
        <v>1592</v>
      </c>
      <c r="B102" s="312">
        <v>400</v>
      </c>
    </row>
    <row r="103" spans="1:3" x14ac:dyDescent="0.25">
      <c r="A103" s="313" t="s">
        <v>1593</v>
      </c>
      <c r="B103" s="312">
        <v>200</v>
      </c>
    </row>
    <row r="104" spans="1:3" x14ac:dyDescent="0.25">
      <c r="A104" s="313" t="s">
        <v>1436</v>
      </c>
      <c r="B104" s="312">
        <v>150</v>
      </c>
    </row>
    <row r="105" spans="1:3" x14ac:dyDescent="0.25">
      <c r="A105" s="313" t="s">
        <v>1437</v>
      </c>
      <c r="B105" s="312">
        <v>150</v>
      </c>
    </row>
    <row r="106" spans="1:3" x14ac:dyDescent="0.25">
      <c r="A106" s="313" t="s">
        <v>1594</v>
      </c>
      <c r="B106" s="312">
        <v>480</v>
      </c>
    </row>
    <row r="107" spans="1:3" x14ac:dyDescent="0.25">
      <c r="A107" s="313" t="s">
        <v>1438</v>
      </c>
      <c r="B107" s="312">
        <v>200</v>
      </c>
    </row>
    <row r="108" spans="1:3" x14ac:dyDescent="0.25">
      <c r="A108" s="314" t="s">
        <v>801</v>
      </c>
      <c r="B108" s="315">
        <v>500</v>
      </c>
    </row>
    <row r="109" spans="1:3" x14ac:dyDescent="0.25">
      <c r="A109" s="311" t="s">
        <v>136</v>
      </c>
      <c r="B109" s="312">
        <v>720</v>
      </c>
    </row>
    <row r="110" spans="1:3" x14ac:dyDescent="0.25">
      <c r="A110" s="314" t="s">
        <v>1439</v>
      </c>
      <c r="B110" s="315">
        <v>200</v>
      </c>
    </row>
    <row r="111" spans="1:3" x14ac:dyDescent="0.25">
      <c r="A111" s="313" t="s">
        <v>1595</v>
      </c>
      <c r="B111" s="312">
        <v>200</v>
      </c>
    </row>
    <row r="112" spans="1:3" x14ac:dyDescent="0.25">
      <c r="A112" s="313" t="s">
        <v>137</v>
      </c>
      <c r="B112" s="312">
        <v>384</v>
      </c>
    </row>
    <row r="113" spans="1:2" x14ac:dyDescent="0.25">
      <c r="A113" s="313" t="s">
        <v>1440</v>
      </c>
      <c r="B113" s="312">
        <v>384</v>
      </c>
    </row>
    <row r="114" spans="1:2" x14ac:dyDescent="0.25">
      <c r="A114" s="313" t="s">
        <v>1237</v>
      </c>
      <c r="B114" s="312">
        <v>384</v>
      </c>
    </row>
    <row r="115" spans="1:2" x14ac:dyDescent="0.25">
      <c r="A115" s="313" t="s">
        <v>802</v>
      </c>
      <c r="B115" s="312">
        <v>600</v>
      </c>
    </row>
    <row r="116" spans="1:2" x14ac:dyDescent="0.25">
      <c r="A116" s="313" t="s">
        <v>1441</v>
      </c>
      <c r="B116" s="312">
        <v>200</v>
      </c>
    </row>
    <row r="117" spans="1:2" x14ac:dyDescent="0.25">
      <c r="A117" s="311" t="s">
        <v>803</v>
      </c>
      <c r="B117" s="312">
        <v>500</v>
      </c>
    </row>
    <row r="118" spans="1:2" x14ac:dyDescent="0.25">
      <c r="A118" s="311" t="s">
        <v>1442</v>
      </c>
      <c r="B118" s="312">
        <v>480</v>
      </c>
    </row>
    <row r="119" spans="1:2" x14ac:dyDescent="0.25">
      <c r="A119" s="311" t="s">
        <v>138</v>
      </c>
      <c r="B119" s="312">
        <v>480</v>
      </c>
    </row>
    <row r="120" spans="1:2" x14ac:dyDescent="0.25">
      <c r="A120" s="313" t="s">
        <v>1596</v>
      </c>
      <c r="B120" s="312">
        <v>500</v>
      </c>
    </row>
    <row r="121" spans="1:2" x14ac:dyDescent="0.25">
      <c r="A121" s="313" t="s">
        <v>1597</v>
      </c>
      <c r="B121" s="312">
        <v>500</v>
      </c>
    </row>
    <row r="122" spans="1:2" x14ac:dyDescent="0.25">
      <c r="A122" s="311" t="s">
        <v>1598</v>
      </c>
      <c r="B122" s="312">
        <v>500</v>
      </c>
    </row>
    <row r="123" spans="1:2" x14ac:dyDescent="0.25">
      <c r="A123" s="313" t="s">
        <v>1238</v>
      </c>
      <c r="B123" s="312">
        <v>750</v>
      </c>
    </row>
    <row r="124" spans="1:2" x14ac:dyDescent="0.25">
      <c r="A124" s="313" t="s">
        <v>139</v>
      </c>
      <c r="B124" s="312">
        <v>280</v>
      </c>
    </row>
    <row r="125" spans="1:2" x14ac:dyDescent="0.25">
      <c r="A125" s="314" t="s">
        <v>1239</v>
      </c>
      <c r="B125" s="315">
        <v>150</v>
      </c>
    </row>
    <row r="126" spans="1:2" x14ac:dyDescent="0.25">
      <c r="A126" s="313" t="s">
        <v>1443</v>
      </c>
      <c r="B126" s="312">
        <v>500</v>
      </c>
    </row>
    <row r="127" spans="1:2" x14ac:dyDescent="0.25">
      <c r="A127" s="313" t="s">
        <v>1240</v>
      </c>
      <c r="B127" s="312">
        <v>350</v>
      </c>
    </row>
    <row r="128" spans="1:2" x14ac:dyDescent="0.25">
      <c r="A128" s="313" t="s">
        <v>1444</v>
      </c>
      <c r="B128" s="312">
        <v>500</v>
      </c>
    </row>
    <row r="129" spans="1:3" x14ac:dyDescent="0.25">
      <c r="A129" s="313" t="s">
        <v>1599</v>
      </c>
      <c r="B129" s="312">
        <v>425</v>
      </c>
    </row>
    <row r="130" spans="1:3" x14ac:dyDescent="0.25">
      <c r="A130" s="313" t="s">
        <v>1445</v>
      </c>
      <c r="B130" s="312">
        <v>425</v>
      </c>
      <c r="C130" s="7"/>
    </row>
    <row r="131" spans="1:3" x14ac:dyDescent="0.25">
      <c r="A131" s="314" t="s">
        <v>1600</v>
      </c>
      <c r="B131" s="315">
        <v>240</v>
      </c>
      <c r="C131" s="7"/>
    </row>
    <row r="132" spans="1:3" x14ac:dyDescent="0.25">
      <c r="A132" s="313" t="s">
        <v>804</v>
      </c>
      <c r="B132" s="312">
        <v>700</v>
      </c>
    </row>
    <row r="133" spans="1:3" x14ac:dyDescent="0.25">
      <c r="A133" s="313" t="s">
        <v>805</v>
      </c>
      <c r="B133" s="312">
        <v>480</v>
      </c>
    </row>
    <row r="134" spans="1:3" x14ac:dyDescent="0.25">
      <c r="A134" s="314" t="s">
        <v>140</v>
      </c>
      <c r="B134" s="315">
        <v>500</v>
      </c>
    </row>
    <row r="135" spans="1:3" x14ac:dyDescent="0.25">
      <c r="A135" s="313" t="s">
        <v>1446</v>
      </c>
      <c r="B135" s="312">
        <v>500</v>
      </c>
    </row>
    <row r="136" spans="1:3" x14ac:dyDescent="0.25">
      <c r="A136" s="314" t="s">
        <v>1241</v>
      </c>
      <c r="B136" s="315">
        <v>900</v>
      </c>
    </row>
    <row r="137" spans="1:3" x14ac:dyDescent="0.25">
      <c r="A137" s="313" t="s">
        <v>1447</v>
      </c>
      <c r="B137" s="312">
        <v>500</v>
      </c>
    </row>
    <row r="138" spans="1:3" x14ac:dyDescent="0.25">
      <c r="A138" s="313" t="s">
        <v>1448</v>
      </c>
      <c r="B138" s="312">
        <v>500</v>
      </c>
      <c r="C138" s="7"/>
    </row>
    <row r="139" spans="1:3" x14ac:dyDescent="0.25">
      <c r="A139" s="313" t="s">
        <v>141</v>
      </c>
      <c r="B139" s="312">
        <v>900</v>
      </c>
      <c r="C139" s="7"/>
    </row>
    <row r="140" spans="1:3" x14ac:dyDescent="0.25">
      <c r="A140" s="313" t="s">
        <v>1601</v>
      </c>
      <c r="B140" s="312">
        <v>900</v>
      </c>
      <c r="C140" s="7"/>
    </row>
    <row r="141" spans="1:3" x14ac:dyDescent="0.25">
      <c r="A141" s="313" t="s">
        <v>142</v>
      </c>
      <c r="B141" s="312">
        <v>500</v>
      </c>
    </row>
    <row r="142" spans="1:3" x14ac:dyDescent="0.25">
      <c r="A142" s="313" t="s">
        <v>1449</v>
      </c>
      <c r="B142" s="312">
        <v>480</v>
      </c>
    </row>
    <row r="143" spans="1:3" x14ac:dyDescent="0.25">
      <c r="A143" s="313" t="s">
        <v>1602</v>
      </c>
      <c r="B143" s="312">
        <v>720</v>
      </c>
    </row>
    <row r="144" spans="1:3" x14ac:dyDescent="0.25">
      <c r="A144" s="311" t="s">
        <v>1603</v>
      </c>
      <c r="B144" s="312">
        <v>400</v>
      </c>
    </row>
    <row r="145" spans="1:3" x14ac:dyDescent="0.25">
      <c r="A145" s="311" t="s">
        <v>1450</v>
      </c>
      <c r="B145" s="312">
        <v>250</v>
      </c>
    </row>
    <row r="146" spans="1:3" x14ac:dyDescent="0.25">
      <c r="A146" s="313" t="s">
        <v>806</v>
      </c>
      <c r="B146" s="312">
        <v>750</v>
      </c>
    </row>
    <row r="147" spans="1:3" x14ac:dyDescent="0.25">
      <c r="A147" s="313" t="s">
        <v>1451</v>
      </c>
      <c r="B147" s="312">
        <v>700</v>
      </c>
    </row>
    <row r="148" spans="1:3" x14ac:dyDescent="0.25">
      <c r="A148" s="313" t="s">
        <v>1242</v>
      </c>
      <c r="B148" s="312">
        <v>350</v>
      </c>
    </row>
    <row r="149" spans="1:3" x14ac:dyDescent="0.25">
      <c r="A149" s="311" t="s">
        <v>1243</v>
      </c>
      <c r="B149" s="312">
        <v>960</v>
      </c>
    </row>
    <row r="150" spans="1:3" x14ac:dyDescent="0.25">
      <c r="A150" s="316" t="s">
        <v>143</v>
      </c>
      <c r="B150" s="315">
        <v>200</v>
      </c>
      <c r="C150" s="7"/>
    </row>
    <row r="151" spans="1:3" x14ac:dyDescent="0.25">
      <c r="A151" s="314" t="s">
        <v>1244</v>
      </c>
      <c r="B151" s="315">
        <v>500</v>
      </c>
    </row>
    <row r="152" spans="1:3" x14ac:dyDescent="0.25">
      <c r="A152" s="313" t="s">
        <v>1452</v>
      </c>
      <c r="B152" s="312">
        <v>800</v>
      </c>
    </row>
    <row r="153" spans="1:3" x14ac:dyDescent="0.25">
      <c r="A153" s="311" t="s">
        <v>1452</v>
      </c>
      <c r="B153" s="312">
        <v>800</v>
      </c>
    </row>
    <row r="154" spans="1:3" x14ac:dyDescent="0.25">
      <c r="A154" s="316" t="s">
        <v>1453</v>
      </c>
      <c r="B154" s="315">
        <v>100</v>
      </c>
    </row>
    <row r="155" spans="1:3" x14ac:dyDescent="0.25">
      <c r="A155" s="314" t="s">
        <v>1454</v>
      </c>
      <c r="B155" s="315">
        <v>500</v>
      </c>
    </row>
    <row r="156" spans="1:3" x14ac:dyDescent="0.25">
      <c r="A156" s="314" t="s">
        <v>1455</v>
      </c>
      <c r="B156" s="315">
        <v>200</v>
      </c>
    </row>
    <row r="157" spans="1:3" x14ac:dyDescent="0.25">
      <c r="A157" s="316" t="s">
        <v>1604</v>
      </c>
      <c r="B157" s="315">
        <v>0</v>
      </c>
    </row>
    <row r="158" spans="1:3" x14ac:dyDescent="0.25">
      <c r="A158" s="313" t="s">
        <v>1245</v>
      </c>
      <c r="B158" s="312">
        <v>200</v>
      </c>
    </row>
    <row r="159" spans="1:3" x14ac:dyDescent="0.25">
      <c r="A159" s="313" t="s">
        <v>1456</v>
      </c>
      <c r="B159" s="312">
        <v>450</v>
      </c>
    </row>
    <row r="160" spans="1:3" x14ac:dyDescent="0.25">
      <c r="A160" s="314" t="s">
        <v>1456</v>
      </c>
      <c r="B160" s="315">
        <v>450</v>
      </c>
    </row>
    <row r="161" spans="1:2" x14ac:dyDescent="0.25">
      <c r="A161" s="316" t="s">
        <v>1457</v>
      </c>
      <c r="B161" s="315">
        <v>960</v>
      </c>
    </row>
    <row r="162" spans="1:2" x14ac:dyDescent="0.25">
      <c r="A162" s="313" t="s">
        <v>1246</v>
      </c>
      <c r="B162" s="312">
        <v>200</v>
      </c>
    </row>
    <row r="163" spans="1:2" x14ac:dyDescent="0.25">
      <c r="A163" s="314" t="s">
        <v>144</v>
      </c>
      <c r="B163" s="315">
        <v>750</v>
      </c>
    </row>
    <row r="164" spans="1:2" x14ac:dyDescent="0.25">
      <c r="A164" s="313" t="s">
        <v>1605</v>
      </c>
      <c r="B164" s="312">
        <v>483</v>
      </c>
    </row>
    <row r="165" spans="1:2" x14ac:dyDescent="0.25">
      <c r="A165" s="311" t="s">
        <v>1606</v>
      </c>
      <c r="B165" s="312">
        <v>960</v>
      </c>
    </row>
    <row r="166" spans="1:2" x14ac:dyDescent="0.25">
      <c r="A166" s="313" t="s">
        <v>1458</v>
      </c>
      <c r="B166" s="312">
        <v>951</v>
      </c>
    </row>
    <row r="167" spans="1:2" x14ac:dyDescent="0.25">
      <c r="A167" s="313" t="s">
        <v>1247</v>
      </c>
      <c r="B167" s="312">
        <v>480</v>
      </c>
    </row>
    <row r="168" spans="1:2" x14ac:dyDescent="0.25">
      <c r="A168" s="313" t="s">
        <v>1459</v>
      </c>
      <c r="B168" s="312">
        <v>425</v>
      </c>
    </row>
    <row r="169" spans="1:2" x14ac:dyDescent="0.25">
      <c r="A169" s="313" t="s">
        <v>1248</v>
      </c>
      <c r="B169" s="312">
        <v>125</v>
      </c>
    </row>
    <row r="170" spans="1:2" x14ac:dyDescent="0.25">
      <c r="A170" s="313" t="s">
        <v>1249</v>
      </c>
      <c r="B170" s="312">
        <v>480</v>
      </c>
    </row>
    <row r="171" spans="1:2" x14ac:dyDescent="0.25">
      <c r="A171" s="313" t="s">
        <v>1250</v>
      </c>
      <c r="B171" s="312">
        <v>480</v>
      </c>
    </row>
    <row r="172" spans="1:2" x14ac:dyDescent="0.25">
      <c r="A172" s="313" t="s">
        <v>1460</v>
      </c>
      <c r="B172" s="312">
        <v>500</v>
      </c>
    </row>
    <row r="173" spans="1:2" x14ac:dyDescent="0.25">
      <c r="A173" s="313" t="s">
        <v>1461</v>
      </c>
      <c r="B173" s="312">
        <v>500</v>
      </c>
    </row>
    <row r="174" spans="1:2" x14ac:dyDescent="0.25">
      <c r="A174" s="313" t="s">
        <v>1251</v>
      </c>
      <c r="B174" s="312">
        <v>200</v>
      </c>
    </row>
    <row r="175" spans="1:2" x14ac:dyDescent="0.25">
      <c r="A175" s="313" t="s">
        <v>1462</v>
      </c>
      <c r="B175" s="312">
        <v>200</v>
      </c>
    </row>
    <row r="176" spans="1:2" x14ac:dyDescent="0.25">
      <c r="A176" s="313" t="s">
        <v>1607</v>
      </c>
      <c r="B176" s="312">
        <v>250</v>
      </c>
    </row>
    <row r="177" spans="1:3" x14ac:dyDescent="0.25">
      <c r="A177" s="313" t="s">
        <v>1463</v>
      </c>
      <c r="B177" s="312">
        <v>750</v>
      </c>
    </row>
    <row r="178" spans="1:3" x14ac:dyDescent="0.25">
      <c r="A178" s="311" t="s">
        <v>1464</v>
      </c>
      <c r="B178" s="312">
        <v>500</v>
      </c>
    </row>
    <row r="179" spans="1:3" x14ac:dyDescent="0.25">
      <c r="A179" s="311" t="s">
        <v>1465</v>
      </c>
      <c r="B179" s="312">
        <v>960</v>
      </c>
    </row>
    <row r="180" spans="1:3" x14ac:dyDescent="0.25">
      <c r="A180" s="311" t="s">
        <v>1466</v>
      </c>
      <c r="B180" s="312">
        <v>200</v>
      </c>
    </row>
    <row r="181" spans="1:3" x14ac:dyDescent="0.25">
      <c r="A181" s="313" t="s">
        <v>1467</v>
      </c>
      <c r="B181" s="312">
        <v>600</v>
      </c>
    </row>
    <row r="182" spans="1:3" x14ac:dyDescent="0.25">
      <c r="A182" s="313" t="s">
        <v>798</v>
      </c>
      <c r="B182" s="312">
        <v>200</v>
      </c>
    </row>
    <row r="183" spans="1:3" x14ac:dyDescent="0.25">
      <c r="A183" s="313" t="s">
        <v>1608</v>
      </c>
      <c r="B183" s="312">
        <v>200</v>
      </c>
    </row>
    <row r="184" spans="1:3" x14ac:dyDescent="0.25">
      <c r="A184" s="313" t="s">
        <v>1468</v>
      </c>
      <c r="B184" s="312">
        <v>750</v>
      </c>
    </row>
    <row r="185" spans="1:3" x14ac:dyDescent="0.25">
      <c r="A185" s="313" t="s">
        <v>1252</v>
      </c>
      <c r="B185" s="312">
        <v>900</v>
      </c>
      <c r="C185" s="7"/>
    </row>
    <row r="186" spans="1:3" x14ac:dyDescent="0.25">
      <c r="A186" s="313" t="s">
        <v>1253</v>
      </c>
      <c r="B186" s="312">
        <v>800</v>
      </c>
      <c r="C186" s="7"/>
    </row>
    <row r="187" spans="1:3" x14ac:dyDescent="0.25">
      <c r="A187" s="313" t="s">
        <v>1469</v>
      </c>
      <c r="B187" s="312">
        <v>750</v>
      </c>
      <c r="C187" s="7"/>
    </row>
    <row r="188" spans="1:3" x14ac:dyDescent="0.25">
      <c r="A188" s="313" t="s">
        <v>1470</v>
      </c>
      <c r="B188" s="312">
        <v>750</v>
      </c>
    </row>
    <row r="189" spans="1:3" x14ac:dyDescent="0.25">
      <c r="A189" s="313" t="s">
        <v>1254</v>
      </c>
      <c r="B189" s="312">
        <v>480</v>
      </c>
    </row>
    <row r="190" spans="1:3" x14ac:dyDescent="0.25">
      <c r="A190" s="313" t="s">
        <v>156</v>
      </c>
      <c r="B190" s="312">
        <v>800</v>
      </c>
    </row>
    <row r="191" spans="1:3" x14ac:dyDescent="0.25">
      <c r="A191" s="313" t="s">
        <v>1471</v>
      </c>
      <c r="B191" s="312">
        <v>800</v>
      </c>
    </row>
    <row r="192" spans="1:3" x14ac:dyDescent="0.25">
      <c r="A192" s="313" t="s">
        <v>1472</v>
      </c>
      <c r="B192" s="312">
        <v>793</v>
      </c>
    </row>
    <row r="193" spans="1:2" x14ac:dyDescent="0.25">
      <c r="A193" s="313" t="s">
        <v>807</v>
      </c>
      <c r="B193" s="312">
        <v>700</v>
      </c>
    </row>
    <row r="194" spans="1:2" x14ac:dyDescent="0.25">
      <c r="A194" s="313" t="s">
        <v>1255</v>
      </c>
      <c r="B194" s="312">
        <v>620</v>
      </c>
    </row>
    <row r="195" spans="1:2" x14ac:dyDescent="0.25">
      <c r="A195" s="313" t="s">
        <v>808</v>
      </c>
      <c r="B195" s="312">
        <v>700</v>
      </c>
    </row>
    <row r="196" spans="1:2" x14ac:dyDescent="0.25">
      <c r="A196" s="313" t="s">
        <v>145</v>
      </c>
      <c r="B196" s="312">
        <v>800</v>
      </c>
    </row>
    <row r="197" spans="1:2" x14ac:dyDescent="0.25">
      <c r="A197" s="311" t="s">
        <v>809</v>
      </c>
      <c r="B197" s="312">
        <v>700</v>
      </c>
    </row>
    <row r="198" spans="1:2" x14ac:dyDescent="0.25">
      <c r="A198" s="314" t="s">
        <v>146</v>
      </c>
      <c r="B198" s="315">
        <v>800</v>
      </c>
    </row>
    <row r="199" spans="1:2" x14ac:dyDescent="0.25">
      <c r="A199" s="313" t="s">
        <v>810</v>
      </c>
      <c r="B199" s="312">
        <v>800</v>
      </c>
    </row>
    <row r="200" spans="1:2" x14ac:dyDescent="0.25">
      <c r="A200" s="311" t="s">
        <v>1609</v>
      </c>
      <c r="B200" s="312">
        <v>800</v>
      </c>
    </row>
    <row r="201" spans="1:2" x14ac:dyDescent="0.25">
      <c r="A201" s="313" t="s">
        <v>1610</v>
      </c>
      <c r="B201" s="312">
        <v>800</v>
      </c>
    </row>
    <row r="202" spans="1:2" x14ac:dyDescent="0.25">
      <c r="A202" s="313" t="s">
        <v>811</v>
      </c>
      <c r="B202" s="312">
        <v>500</v>
      </c>
    </row>
    <row r="203" spans="1:2" x14ac:dyDescent="0.25">
      <c r="A203" s="313" t="s">
        <v>1256</v>
      </c>
      <c r="B203" s="312">
        <v>800</v>
      </c>
    </row>
    <row r="204" spans="1:2" x14ac:dyDescent="0.25">
      <c r="A204" s="311" t="s">
        <v>1473</v>
      </c>
      <c r="B204" s="312">
        <v>480</v>
      </c>
    </row>
    <row r="205" spans="1:2" x14ac:dyDescent="0.25">
      <c r="A205" s="313" t="s">
        <v>1473</v>
      </c>
      <c r="B205" s="312">
        <v>384</v>
      </c>
    </row>
    <row r="206" spans="1:2" x14ac:dyDescent="0.25">
      <c r="A206" s="313" t="s">
        <v>812</v>
      </c>
      <c r="B206" s="312">
        <v>750</v>
      </c>
    </row>
    <row r="207" spans="1:2" x14ac:dyDescent="0.25">
      <c r="A207" s="313" t="s">
        <v>799</v>
      </c>
      <c r="B207" s="312">
        <v>50.4</v>
      </c>
    </row>
    <row r="208" spans="1:2" x14ac:dyDescent="0.25">
      <c r="A208" s="313" t="s">
        <v>1611</v>
      </c>
      <c r="B208" s="312">
        <v>50</v>
      </c>
    </row>
    <row r="209" spans="1:2" x14ac:dyDescent="0.25">
      <c r="A209" s="313" t="s">
        <v>1474</v>
      </c>
      <c r="B209" s="312">
        <v>360</v>
      </c>
    </row>
    <row r="210" spans="1:2" x14ac:dyDescent="0.25">
      <c r="A210" s="313" t="s">
        <v>1475</v>
      </c>
      <c r="B210" s="312">
        <v>720</v>
      </c>
    </row>
    <row r="211" spans="1:2" x14ac:dyDescent="0.25">
      <c r="A211" s="313" t="s">
        <v>1476</v>
      </c>
      <c r="B211" s="312">
        <v>720</v>
      </c>
    </row>
    <row r="212" spans="1:2" x14ac:dyDescent="0.25">
      <c r="A212" s="313" t="s">
        <v>1477</v>
      </c>
      <c r="B212" s="312">
        <v>720</v>
      </c>
    </row>
    <row r="213" spans="1:2" x14ac:dyDescent="0.25">
      <c r="A213" s="313" t="s">
        <v>1478</v>
      </c>
      <c r="B213" s="312">
        <v>720</v>
      </c>
    </row>
    <row r="214" spans="1:2" x14ac:dyDescent="0.25">
      <c r="A214" s="313" t="s">
        <v>1257</v>
      </c>
      <c r="B214" s="312">
        <v>360</v>
      </c>
    </row>
    <row r="215" spans="1:2" x14ac:dyDescent="0.25">
      <c r="A215" s="313" t="s">
        <v>1612</v>
      </c>
      <c r="B215" s="312">
        <v>480</v>
      </c>
    </row>
    <row r="216" spans="1:2" x14ac:dyDescent="0.25">
      <c r="A216" s="313" t="s">
        <v>1613</v>
      </c>
      <c r="B216" s="312">
        <v>480</v>
      </c>
    </row>
    <row r="217" spans="1:2" x14ac:dyDescent="0.25">
      <c r="A217" s="311" t="s">
        <v>1614</v>
      </c>
      <c r="B217" s="312">
        <v>480</v>
      </c>
    </row>
    <row r="218" spans="1:2" x14ac:dyDescent="0.25">
      <c r="A218" s="311" t="s">
        <v>1258</v>
      </c>
      <c r="B218" s="312">
        <v>477</v>
      </c>
    </row>
    <row r="219" spans="1:2" x14ac:dyDescent="0.25">
      <c r="A219" s="311" t="s">
        <v>157</v>
      </c>
      <c r="B219" s="312">
        <v>800</v>
      </c>
    </row>
    <row r="220" spans="1:2" x14ac:dyDescent="0.25">
      <c r="A220" s="313" t="s">
        <v>1479</v>
      </c>
      <c r="B220" s="312">
        <v>750</v>
      </c>
    </row>
    <row r="221" spans="1:2" x14ac:dyDescent="0.25">
      <c r="A221" s="314" t="s">
        <v>147</v>
      </c>
      <c r="B221" s="315">
        <v>960</v>
      </c>
    </row>
    <row r="222" spans="1:2" x14ac:dyDescent="0.25">
      <c r="A222" s="314" t="s">
        <v>1480</v>
      </c>
      <c r="B222" s="315">
        <v>720</v>
      </c>
    </row>
    <row r="223" spans="1:2" x14ac:dyDescent="0.25">
      <c r="A223" s="313" t="s">
        <v>1260</v>
      </c>
      <c r="B223" s="312">
        <v>480</v>
      </c>
    </row>
    <row r="224" spans="1:2" x14ac:dyDescent="0.25">
      <c r="A224" s="313" t="s">
        <v>1615</v>
      </c>
      <c r="B224" s="312">
        <v>900</v>
      </c>
    </row>
    <row r="225" spans="1:2" x14ac:dyDescent="0.25">
      <c r="A225" s="313" t="s">
        <v>1481</v>
      </c>
      <c r="B225" s="312">
        <v>700</v>
      </c>
    </row>
    <row r="226" spans="1:2" x14ac:dyDescent="0.25">
      <c r="A226" s="313" t="s">
        <v>1616</v>
      </c>
      <c r="B226" s="312">
        <v>384</v>
      </c>
    </row>
    <row r="227" spans="1:2" x14ac:dyDescent="0.25">
      <c r="A227" s="313" t="s">
        <v>1482</v>
      </c>
      <c r="B227" s="312">
        <v>500</v>
      </c>
    </row>
    <row r="228" spans="1:2" x14ac:dyDescent="0.25">
      <c r="A228" s="314" t="s">
        <v>1483</v>
      </c>
      <c r="B228" s="315">
        <v>500</v>
      </c>
    </row>
    <row r="229" spans="1:2" x14ac:dyDescent="0.25">
      <c r="A229" s="313" t="s">
        <v>1261</v>
      </c>
      <c r="B229" s="312">
        <v>800</v>
      </c>
    </row>
    <row r="230" spans="1:2" x14ac:dyDescent="0.25">
      <c r="A230" s="313" t="s">
        <v>1484</v>
      </c>
      <c r="B230" s="312">
        <v>800</v>
      </c>
    </row>
    <row r="231" spans="1:2" x14ac:dyDescent="0.25">
      <c r="A231" s="313" t="s">
        <v>1485</v>
      </c>
      <c r="B231" s="312">
        <v>780</v>
      </c>
    </row>
    <row r="232" spans="1:2" x14ac:dyDescent="0.25">
      <c r="A232" s="313" t="s">
        <v>1486</v>
      </c>
      <c r="B232" s="312">
        <v>480</v>
      </c>
    </row>
    <row r="233" spans="1:2" x14ac:dyDescent="0.25">
      <c r="A233" s="311" t="s">
        <v>1259</v>
      </c>
      <c r="B233" s="312">
        <v>360</v>
      </c>
    </row>
    <row r="234" spans="1:2" x14ac:dyDescent="0.25">
      <c r="A234" s="311" t="s">
        <v>1487</v>
      </c>
      <c r="B234" s="312">
        <v>480</v>
      </c>
    </row>
    <row r="235" spans="1:2" x14ac:dyDescent="0.25">
      <c r="A235" s="313" t="s">
        <v>813</v>
      </c>
      <c r="B235" s="312">
        <v>750</v>
      </c>
    </row>
    <row r="236" spans="1:2" x14ac:dyDescent="0.25">
      <c r="A236" s="313" t="s">
        <v>1488</v>
      </c>
      <c r="B236" s="312">
        <v>400</v>
      </c>
    </row>
    <row r="237" spans="1:2" x14ac:dyDescent="0.25">
      <c r="A237" s="311" t="s">
        <v>1617</v>
      </c>
      <c r="B237" s="312">
        <v>480</v>
      </c>
    </row>
    <row r="238" spans="1:2" x14ac:dyDescent="0.25">
      <c r="A238" s="313" t="s">
        <v>1489</v>
      </c>
      <c r="B238" s="312">
        <v>720</v>
      </c>
    </row>
    <row r="239" spans="1:2" x14ac:dyDescent="0.25">
      <c r="A239" s="313" t="s">
        <v>1490</v>
      </c>
      <c r="B239" s="312">
        <v>200</v>
      </c>
    </row>
    <row r="240" spans="1:2" x14ac:dyDescent="0.25">
      <c r="A240" s="313" t="s">
        <v>814</v>
      </c>
      <c r="B240" s="312">
        <v>700</v>
      </c>
    </row>
    <row r="241" spans="1:3" x14ac:dyDescent="0.25">
      <c r="A241" s="311" t="s">
        <v>1491</v>
      </c>
      <c r="B241" s="312">
        <v>800</v>
      </c>
    </row>
    <row r="242" spans="1:3" x14ac:dyDescent="0.25">
      <c r="A242" s="314" t="s">
        <v>1492</v>
      </c>
      <c r="B242" s="315">
        <v>400</v>
      </c>
    </row>
    <row r="243" spans="1:3" x14ac:dyDescent="0.25">
      <c r="A243" s="313" t="s">
        <v>1493</v>
      </c>
      <c r="B243" s="312">
        <v>100</v>
      </c>
    </row>
    <row r="244" spans="1:3" x14ac:dyDescent="0.25">
      <c r="A244" s="313" t="s">
        <v>1494</v>
      </c>
      <c r="B244" s="312">
        <v>100</v>
      </c>
    </row>
    <row r="245" spans="1:3" x14ac:dyDescent="0.25">
      <c r="A245" s="313" t="s">
        <v>1495</v>
      </c>
      <c r="B245" s="312">
        <v>540</v>
      </c>
      <c r="C245" s="7"/>
    </row>
    <row r="246" spans="1:3" x14ac:dyDescent="0.25">
      <c r="A246" s="313" t="s">
        <v>1262</v>
      </c>
      <c r="B246" s="312">
        <v>125</v>
      </c>
      <c r="C246" s="7"/>
    </row>
    <row r="247" spans="1:3" x14ac:dyDescent="0.25">
      <c r="A247" s="313" t="s">
        <v>1262</v>
      </c>
      <c r="B247" s="312">
        <v>125</v>
      </c>
      <c r="C247" s="7"/>
    </row>
    <row r="248" spans="1:3" x14ac:dyDescent="0.25">
      <c r="A248" s="313" t="s">
        <v>1263</v>
      </c>
      <c r="B248" s="312">
        <v>150</v>
      </c>
    </row>
    <row r="249" spans="1:3" x14ac:dyDescent="0.25">
      <c r="A249" s="314" t="s">
        <v>1264</v>
      </c>
      <c r="B249" s="315">
        <v>125</v>
      </c>
    </row>
    <row r="250" spans="1:3" x14ac:dyDescent="0.25">
      <c r="A250" s="313" t="s">
        <v>1618</v>
      </c>
      <c r="B250" s="312">
        <v>125</v>
      </c>
    </row>
    <row r="251" spans="1:3" x14ac:dyDescent="0.25">
      <c r="A251" s="313" t="s">
        <v>1496</v>
      </c>
      <c r="B251" s="312">
        <v>125</v>
      </c>
    </row>
    <row r="252" spans="1:3" x14ac:dyDescent="0.25">
      <c r="A252" s="313" t="s">
        <v>1497</v>
      </c>
      <c r="B252" s="312">
        <v>200</v>
      </c>
    </row>
    <row r="253" spans="1:3" x14ac:dyDescent="0.25">
      <c r="A253" s="313" t="s">
        <v>148</v>
      </c>
      <c r="B253" s="312">
        <v>150</v>
      </c>
    </row>
    <row r="254" spans="1:3" x14ac:dyDescent="0.25">
      <c r="A254" s="313" t="s">
        <v>148</v>
      </c>
      <c r="B254" s="312">
        <v>150</v>
      </c>
    </row>
    <row r="255" spans="1:3" x14ac:dyDescent="0.25">
      <c r="A255" s="313" t="s">
        <v>815</v>
      </c>
      <c r="B255" s="312">
        <v>480</v>
      </c>
    </row>
    <row r="256" spans="1:3" x14ac:dyDescent="0.25">
      <c r="A256" s="313" t="s">
        <v>1498</v>
      </c>
      <c r="B256" s="312">
        <v>320</v>
      </c>
    </row>
    <row r="257" spans="1:2" x14ac:dyDescent="0.25">
      <c r="A257" s="313" t="s">
        <v>1499</v>
      </c>
      <c r="B257" s="312">
        <v>240</v>
      </c>
    </row>
    <row r="258" spans="1:2" x14ac:dyDescent="0.25">
      <c r="A258" s="313" t="s">
        <v>1265</v>
      </c>
      <c r="B258" s="312">
        <v>108</v>
      </c>
    </row>
    <row r="259" spans="1:2" x14ac:dyDescent="0.25">
      <c r="A259" s="313" t="s">
        <v>1619</v>
      </c>
      <c r="B259" s="312">
        <v>108</v>
      </c>
    </row>
    <row r="260" spans="1:2" x14ac:dyDescent="0.25">
      <c r="A260" s="314" t="s">
        <v>1620</v>
      </c>
      <c r="B260" s="315">
        <v>200</v>
      </c>
    </row>
    <row r="261" spans="1:2" x14ac:dyDescent="0.25">
      <c r="A261" s="316" t="s">
        <v>816</v>
      </c>
      <c r="B261" s="315">
        <v>710</v>
      </c>
    </row>
    <row r="262" spans="1:2" x14ac:dyDescent="0.25">
      <c r="A262" s="314" t="s">
        <v>1500</v>
      </c>
      <c r="B262" s="315">
        <v>540</v>
      </c>
    </row>
    <row r="263" spans="1:2" x14ac:dyDescent="0.25">
      <c r="A263" s="313" t="s">
        <v>1501</v>
      </c>
      <c r="B263" s="312">
        <v>360</v>
      </c>
    </row>
    <row r="264" spans="1:2" x14ac:dyDescent="0.25">
      <c r="A264" s="313" t="s">
        <v>1502</v>
      </c>
      <c r="B264" s="312">
        <v>687</v>
      </c>
    </row>
    <row r="265" spans="1:2" x14ac:dyDescent="0.25">
      <c r="A265" s="314" t="s">
        <v>1503</v>
      </c>
      <c r="B265" s="315">
        <v>200</v>
      </c>
    </row>
    <row r="266" spans="1:2" x14ac:dyDescent="0.25">
      <c r="A266" s="316" t="s">
        <v>149</v>
      </c>
      <c r="B266" s="315">
        <v>750</v>
      </c>
    </row>
    <row r="267" spans="1:2" x14ac:dyDescent="0.25">
      <c r="A267" s="314" t="s">
        <v>1504</v>
      </c>
      <c r="B267" s="315">
        <v>750</v>
      </c>
    </row>
    <row r="268" spans="1:2" x14ac:dyDescent="0.25">
      <c r="A268" s="314" t="s">
        <v>1505</v>
      </c>
      <c r="B268" s="315">
        <v>750</v>
      </c>
    </row>
    <row r="269" spans="1:2" x14ac:dyDescent="0.25">
      <c r="A269" s="314" t="s">
        <v>1506</v>
      </c>
      <c r="B269" s="315">
        <v>960</v>
      </c>
    </row>
    <row r="270" spans="1:2" x14ac:dyDescent="0.25">
      <c r="A270" s="316" t="s">
        <v>150</v>
      </c>
      <c r="B270" s="315">
        <v>200</v>
      </c>
    </row>
    <row r="271" spans="1:2" x14ac:dyDescent="0.25">
      <c r="A271" s="316" t="s">
        <v>1507</v>
      </c>
      <c r="B271" s="315">
        <v>240</v>
      </c>
    </row>
    <row r="272" spans="1:2" x14ac:dyDescent="0.25">
      <c r="A272" s="316" t="s">
        <v>1508</v>
      </c>
      <c r="B272" s="315">
        <v>240</v>
      </c>
    </row>
    <row r="273" spans="1:2" x14ac:dyDescent="0.25">
      <c r="A273" s="314" t="s">
        <v>1509</v>
      </c>
      <c r="B273" s="315">
        <v>240</v>
      </c>
    </row>
    <row r="274" spans="1:2" x14ac:dyDescent="0.25">
      <c r="A274" s="314" t="s">
        <v>151</v>
      </c>
      <c r="B274" s="315">
        <v>750</v>
      </c>
    </row>
    <row r="275" spans="1:2" x14ac:dyDescent="0.25">
      <c r="A275" s="313" t="s">
        <v>151</v>
      </c>
      <c r="B275" s="312">
        <v>750</v>
      </c>
    </row>
    <row r="276" spans="1:2" x14ac:dyDescent="0.25">
      <c r="A276" s="313" t="s">
        <v>1510</v>
      </c>
      <c r="B276" s="312">
        <v>750</v>
      </c>
    </row>
    <row r="277" spans="1:2" x14ac:dyDescent="0.25">
      <c r="A277" s="313" t="s">
        <v>1511</v>
      </c>
      <c r="B277" s="312">
        <v>240</v>
      </c>
    </row>
    <row r="278" spans="1:2" x14ac:dyDescent="0.25">
      <c r="A278" s="313" t="s">
        <v>1266</v>
      </c>
      <c r="B278" s="312">
        <v>783</v>
      </c>
    </row>
    <row r="279" spans="1:2" x14ac:dyDescent="0.25">
      <c r="A279" s="314" t="s">
        <v>1621</v>
      </c>
      <c r="B279" s="315">
        <v>500</v>
      </c>
    </row>
    <row r="280" spans="1:2" x14ac:dyDescent="0.25">
      <c r="A280" s="316" t="s">
        <v>1512</v>
      </c>
      <c r="B280" s="315">
        <v>480</v>
      </c>
    </row>
    <row r="281" spans="1:2" x14ac:dyDescent="0.25">
      <c r="A281" s="313" t="s">
        <v>1513</v>
      </c>
      <c r="B281" s="312">
        <v>750</v>
      </c>
    </row>
    <row r="282" spans="1:2" x14ac:dyDescent="0.25">
      <c r="A282" s="313" t="s">
        <v>1622</v>
      </c>
      <c r="B282" s="312">
        <v>300</v>
      </c>
    </row>
    <row r="283" spans="1:2" x14ac:dyDescent="0.25">
      <c r="A283" s="313" t="s">
        <v>817</v>
      </c>
      <c r="B283" s="312">
        <v>668</v>
      </c>
    </row>
    <row r="284" spans="1:2" x14ac:dyDescent="0.25">
      <c r="A284" s="313" t="s">
        <v>152</v>
      </c>
      <c r="B284" s="312">
        <v>510</v>
      </c>
    </row>
    <row r="285" spans="1:2" x14ac:dyDescent="0.25">
      <c r="A285" s="311" t="s">
        <v>1273</v>
      </c>
      <c r="B285" s="312">
        <v>700</v>
      </c>
    </row>
    <row r="286" spans="1:2" x14ac:dyDescent="0.25">
      <c r="A286" s="313" t="s">
        <v>1514</v>
      </c>
      <c r="B286" s="312">
        <v>800</v>
      </c>
    </row>
    <row r="287" spans="1:2" x14ac:dyDescent="0.25">
      <c r="A287" s="313" t="s">
        <v>1267</v>
      </c>
      <c r="B287" s="312">
        <v>960</v>
      </c>
    </row>
    <row r="288" spans="1:2" x14ac:dyDescent="0.25">
      <c r="A288" s="313" t="s">
        <v>1515</v>
      </c>
      <c r="B288" s="312">
        <v>360</v>
      </c>
    </row>
    <row r="289" spans="1:3" x14ac:dyDescent="0.25">
      <c r="A289" s="313" t="s">
        <v>1516</v>
      </c>
      <c r="B289" s="312">
        <v>200</v>
      </c>
    </row>
    <row r="290" spans="1:3" x14ac:dyDescent="0.25">
      <c r="A290" s="311" t="s">
        <v>1268</v>
      </c>
      <c r="B290" s="312">
        <v>350</v>
      </c>
    </row>
    <row r="291" spans="1:3" x14ac:dyDescent="0.25">
      <c r="A291" s="314" t="s">
        <v>1517</v>
      </c>
      <c r="B291" s="315">
        <v>500</v>
      </c>
    </row>
    <row r="292" spans="1:3" x14ac:dyDescent="0.25">
      <c r="A292" s="314" t="s">
        <v>1518</v>
      </c>
      <c r="B292" s="315">
        <v>800</v>
      </c>
    </row>
    <row r="293" spans="1:3" x14ac:dyDescent="0.25">
      <c r="A293" s="314" t="s">
        <v>1519</v>
      </c>
      <c r="B293" s="315">
        <v>900</v>
      </c>
    </row>
    <row r="294" spans="1:3" x14ac:dyDescent="0.25">
      <c r="A294" s="314" t="s">
        <v>818</v>
      </c>
      <c r="B294" s="315">
        <v>840</v>
      </c>
    </row>
    <row r="295" spans="1:3" x14ac:dyDescent="0.25">
      <c r="A295" s="311" t="s">
        <v>1520</v>
      </c>
      <c r="B295" s="312">
        <v>700</v>
      </c>
    </row>
    <row r="296" spans="1:3" x14ac:dyDescent="0.25">
      <c r="A296" s="313" t="s">
        <v>819</v>
      </c>
      <c r="B296" s="312">
        <v>538</v>
      </c>
    </row>
    <row r="297" spans="1:3" x14ac:dyDescent="0.25">
      <c r="A297" s="313" t="s">
        <v>820</v>
      </c>
      <c r="B297" s="312">
        <v>538</v>
      </c>
    </row>
    <row r="298" spans="1:3" x14ac:dyDescent="0.25">
      <c r="A298" s="313" t="s">
        <v>153</v>
      </c>
      <c r="B298" s="312">
        <v>538</v>
      </c>
    </row>
    <row r="299" spans="1:3" x14ac:dyDescent="0.25">
      <c r="A299" s="313" t="s">
        <v>1269</v>
      </c>
      <c r="B299" s="312">
        <v>200</v>
      </c>
    </row>
    <row r="300" spans="1:3" x14ac:dyDescent="0.25">
      <c r="A300" s="313" t="s">
        <v>1521</v>
      </c>
      <c r="B300" s="312">
        <v>750</v>
      </c>
    </row>
    <row r="301" spans="1:3" x14ac:dyDescent="0.25">
      <c r="A301" s="313" t="s">
        <v>1270</v>
      </c>
      <c r="B301" s="312">
        <v>400</v>
      </c>
    </row>
    <row r="302" spans="1:3" x14ac:dyDescent="0.25">
      <c r="A302" s="314" t="s">
        <v>1623</v>
      </c>
      <c r="B302" s="315">
        <v>400</v>
      </c>
    </row>
    <row r="303" spans="1:3" x14ac:dyDescent="0.25">
      <c r="A303" s="313" t="s">
        <v>1624</v>
      </c>
      <c r="B303" s="312">
        <v>400</v>
      </c>
      <c r="C303" s="7"/>
    </row>
    <row r="304" spans="1:3" x14ac:dyDescent="0.25">
      <c r="A304" s="313" t="s">
        <v>1271</v>
      </c>
      <c r="B304" s="312">
        <v>700</v>
      </c>
    </row>
    <row r="305" spans="1:3" x14ac:dyDescent="0.25">
      <c r="A305" s="313" t="s">
        <v>1522</v>
      </c>
      <c r="B305" s="312">
        <v>750</v>
      </c>
    </row>
    <row r="306" spans="1:3" x14ac:dyDescent="0.25">
      <c r="A306" s="313" t="s">
        <v>1523</v>
      </c>
      <c r="B306" s="312">
        <v>750</v>
      </c>
    </row>
    <row r="307" spans="1:3" x14ac:dyDescent="0.25">
      <c r="A307" s="311" t="s">
        <v>1524</v>
      </c>
      <c r="B307" s="312">
        <v>750</v>
      </c>
    </row>
    <row r="308" spans="1:3" x14ac:dyDescent="0.25">
      <c r="A308" s="314" t="s">
        <v>1525</v>
      </c>
      <c r="B308" s="315">
        <v>960</v>
      </c>
    </row>
    <row r="309" spans="1:3" x14ac:dyDescent="0.25">
      <c r="A309" s="316" t="s">
        <v>1526</v>
      </c>
      <c r="B309" s="315">
        <v>960</v>
      </c>
    </row>
    <row r="310" spans="1:3" x14ac:dyDescent="0.25">
      <c r="A310" s="313" t="s">
        <v>1527</v>
      </c>
      <c r="B310" s="312">
        <v>700</v>
      </c>
      <c r="C310" s="7"/>
    </row>
    <row r="311" spans="1:3" x14ac:dyDescent="0.25">
      <c r="A311" s="316" t="s">
        <v>1625</v>
      </c>
      <c r="B311" s="315">
        <v>965</v>
      </c>
      <c r="C311" s="7"/>
    </row>
    <row r="312" spans="1:3" x14ac:dyDescent="0.25">
      <c r="A312" s="316" t="s">
        <v>1274</v>
      </c>
      <c r="B312" s="315">
        <v>960</v>
      </c>
    </row>
    <row r="313" spans="1:3" x14ac:dyDescent="0.25">
      <c r="A313" s="314" t="s">
        <v>1275</v>
      </c>
      <c r="B313" s="315">
        <v>960</v>
      </c>
    </row>
    <row r="314" spans="1:3" x14ac:dyDescent="0.25">
      <c r="A314" s="313" t="s">
        <v>1528</v>
      </c>
      <c r="B314" s="312">
        <v>760</v>
      </c>
    </row>
    <row r="315" spans="1:3" x14ac:dyDescent="0.25">
      <c r="A315" s="313" t="s">
        <v>1529</v>
      </c>
      <c r="B315" s="312">
        <v>700</v>
      </c>
    </row>
    <row r="316" spans="1:3" x14ac:dyDescent="0.25">
      <c r="A316" s="313" t="s">
        <v>1276</v>
      </c>
      <c r="B316" s="312">
        <v>750</v>
      </c>
    </row>
    <row r="317" spans="1:3" x14ac:dyDescent="0.25">
      <c r="A317" s="313" t="s">
        <v>1277</v>
      </c>
      <c r="B317" s="312">
        <v>700</v>
      </c>
    </row>
    <row r="318" spans="1:3" x14ac:dyDescent="0.25">
      <c r="A318" s="316" t="s">
        <v>1278</v>
      </c>
      <c r="B318" s="315">
        <v>750</v>
      </c>
    </row>
    <row r="319" spans="1:3" x14ac:dyDescent="0.25">
      <c r="A319" s="313" t="s">
        <v>1279</v>
      </c>
      <c r="B319" s="312">
        <v>480</v>
      </c>
    </row>
    <row r="320" spans="1:3" x14ac:dyDescent="0.25">
      <c r="A320" s="313" t="s">
        <v>1626</v>
      </c>
      <c r="B320" s="312">
        <v>250</v>
      </c>
    </row>
    <row r="321" spans="1:2" x14ac:dyDescent="0.25">
      <c r="A321" s="314" t="s">
        <v>1280</v>
      </c>
      <c r="B321" s="315">
        <v>700</v>
      </c>
    </row>
    <row r="322" spans="1:2" x14ac:dyDescent="0.25">
      <c r="A322" s="316" t="s">
        <v>1530</v>
      </c>
      <c r="B322" s="315">
        <v>250</v>
      </c>
    </row>
    <row r="323" spans="1:2" x14ac:dyDescent="0.25">
      <c r="A323" s="314" t="s">
        <v>1627</v>
      </c>
      <c r="B323" s="315">
        <v>720</v>
      </c>
    </row>
    <row r="324" spans="1:2" x14ac:dyDescent="0.25">
      <c r="A324" s="311" t="s">
        <v>1628</v>
      </c>
      <c r="B324" s="312">
        <v>720</v>
      </c>
    </row>
    <row r="325" spans="1:2" x14ac:dyDescent="0.25">
      <c r="A325" s="313" t="s">
        <v>1629</v>
      </c>
      <c r="B325" s="312">
        <v>720</v>
      </c>
    </row>
    <row r="326" spans="1:2" x14ac:dyDescent="0.25">
      <c r="A326" s="313" t="s">
        <v>1630</v>
      </c>
      <c r="B326" s="312">
        <v>720</v>
      </c>
    </row>
    <row r="327" spans="1:2" x14ac:dyDescent="0.25">
      <c r="A327" s="313" t="s">
        <v>1531</v>
      </c>
      <c r="B327" s="312">
        <v>480</v>
      </c>
    </row>
    <row r="328" spans="1:2" x14ac:dyDescent="0.25">
      <c r="A328" s="313" t="s">
        <v>1532</v>
      </c>
      <c r="B328" s="312">
        <v>900</v>
      </c>
    </row>
    <row r="329" spans="1:2" x14ac:dyDescent="0.25">
      <c r="A329" s="313" t="s">
        <v>1533</v>
      </c>
      <c r="B329" s="312">
        <v>400</v>
      </c>
    </row>
    <row r="330" spans="1:2" x14ac:dyDescent="0.25">
      <c r="A330" s="314" t="s">
        <v>1281</v>
      </c>
      <c r="B330" s="315">
        <v>183</v>
      </c>
    </row>
    <row r="331" spans="1:2" x14ac:dyDescent="0.25">
      <c r="A331" s="311" t="s">
        <v>1282</v>
      </c>
      <c r="B331" s="312">
        <v>125</v>
      </c>
    </row>
    <row r="332" spans="1:2" x14ac:dyDescent="0.25">
      <c r="A332" s="311" t="s">
        <v>1282</v>
      </c>
      <c r="B332" s="312">
        <v>125</v>
      </c>
    </row>
    <row r="333" spans="1:2" x14ac:dyDescent="0.25">
      <c r="A333" s="313" t="s">
        <v>1534</v>
      </c>
      <c r="B333" s="312">
        <v>240</v>
      </c>
    </row>
    <row r="334" spans="1:2" x14ac:dyDescent="0.25">
      <c r="A334" s="314" t="s">
        <v>1535</v>
      </c>
      <c r="B334" s="315">
        <v>960</v>
      </c>
    </row>
    <row r="335" spans="1:2" x14ac:dyDescent="0.25">
      <c r="A335" s="314" t="s">
        <v>1283</v>
      </c>
      <c r="B335" s="315">
        <v>750</v>
      </c>
    </row>
    <row r="336" spans="1:2" x14ac:dyDescent="0.25">
      <c r="A336" s="313" t="s">
        <v>1536</v>
      </c>
      <c r="B336" s="312">
        <v>360</v>
      </c>
    </row>
    <row r="337" spans="1:2" x14ac:dyDescent="0.25">
      <c r="A337" s="313" t="s">
        <v>1537</v>
      </c>
      <c r="B337" s="312">
        <v>450</v>
      </c>
    </row>
    <row r="338" spans="1:2" x14ac:dyDescent="0.25">
      <c r="A338" s="313" t="s">
        <v>1284</v>
      </c>
      <c r="B338" s="312">
        <v>500</v>
      </c>
    </row>
    <row r="339" spans="1:2" x14ac:dyDescent="0.25">
      <c r="A339" s="313" t="s">
        <v>1538</v>
      </c>
      <c r="B339" s="312">
        <v>660</v>
      </c>
    </row>
    <row r="340" spans="1:2" x14ac:dyDescent="0.25">
      <c r="A340" s="311" t="s">
        <v>1539</v>
      </c>
      <c r="B340" s="312">
        <v>400</v>
      </c>
    </row>
    <row r="341" spans="1:2" x14ac:dyDescent="0.25">
      <c r="A341" s="314" t="s">
        <v>1540</v>
      </c>
      <c r="B341" s="315">
        <v>200</v>
      </c>
    </row>
    <row r="342" spans="1:2" x14ac:dyDescent="0.25">
      <c r="A342" s="313" t="s">
        <v>1631</v>
      </c>
      <c r="B342" s="312">
        <v>200</v>
      </c>
    </row>
    <row r="343" spans="1:2" x14ac:dyDescent="0.25">
      <c r="A343" s="313" t="s">
        <v>1285</v>
      </c>
      <c r="B343" s="312">
        <v>200</v>
      </c>
    </row>
    <row r="344" spans="1:2" x14ac:dyDescent="0.25">
      <c r="A344" s="313" t="s">
        <v>1632</v>
      </c>
      <c r="B344" s="312">
        <v>200</v>
      </c>
    </row>
    <row r="345" spans="1:2" x14ac:dyDescent="0.25">
      <c r="A345" s="313" t="s">
        <v>1541</v>
      </c>
      <c r="B345" s="312">
        <v>200</v>
      </c>
    </row>
    <row r="346" spans="1:2" x14ac:dyDescent="0.25">
      <c r="A346" s="314" t="s">
        <v>1286</v>
      </c>
      <c r="B346" s="315">
        <v>500</v>
      </c>
    </row>
    <row r="347" spans="1:2" x14ac:dyDescent="0.25">
      <c r="A347" s="316" t="s">
        <v>1542</v>
      </c>
      <c r="B347" s="315">
        <v>500</v>
      </c>
    </row>
    <row r="348" spans="1:2" x14ac:dyDescent="0.25">
      <c r="A348" s="316" t="s">
        <v>1287</v>
      </c>
      <c r="B348" s="315">
        <v>960</v>
      </c>
    </row>
    <row r="349" spans="1:2" x14ac:dyDescent="0.25">
      <c r="A349" s="313" t="s">
        <v>1543</v>
      </c>
      <c r="B349" s="312">
        <v>360</v>
      </c>
    </row>
    <row r="350" spans="1:2" x14ac:dyDescent="0.25">
      <c r="A350" s="313" t="s">
        <v>1288</v>
      </c>
      <c r="B350" s="312">
        <v>510</v>
      </c>
    </row>
    <row r="351" spans="1:2" x14ac:dyDescent="0.25">
      <c r="A351" s="313" t="s">
        <v>1289</v>
      </c>
      <c r="B351" s="312">
        <v>686</v>
      </c>
    </row>
    <row r="352" spans="1:2" x14ac:dyDescent="0.25">
      <c r="A352" s="313" t="s">
        <v>1290</v>
      </c>
      <c r="B352" s="312">
        <v>960</v>
      </c>
    </row>
    <row r="353" spans="1:2" x14ac:dyDescent="0.25">
      <c r="A353" s="314" t="s">
        <v>1544</v>
      </c>
      <c r="B353" s="315">
        <v>250</v>
      </c>
    </row>
    <row r="354" spans="1:2" x14ac:dyDescent="0.25">
      <c r="A354" s="316" t="s">
        <v>1291</v>
      </c>
      <c r="B354" s="315">
        <v>750</v>
      </c>
    </row>
    <row r="355" spans="1:2" x14ac:dyDescent="0.25">
      <c r="A355" s="313" t="s">
        <v>1292</v>
      </c>
      <c r="B355" s="312">
        <v>840</v>
      </c>
    </row>
    <row r="356" spans="1:2" x14ac:dyDescent="0.25">
      <c r="A356" s="314" t="s">
        <v>1293</v>
      </c>
      <c r="B356" s="315">
        <v>900</v>
      </c>
    </row>
    <row r="357" spans="1:2" x14ac:dyDescent="0.25">
      <c r="A357" s="314" t="s">
        <v>1545</v>
      </c>
      <c r="B357" s="315">
        <v>660</v>
      </c>
    </row>
    <row r="358" spans="1:2" x14ac:dyDescent="0.25">
      <c r="A358" s="314" t="s">
        <v>1294</v>
      </c>
      <c r="B358" s="315">
        <v>455</v>
      </c>
    </row>
    <row r="359" spans="1:2" x14ac:dyDescent="0.25">
      <c r="A359" s="316" t="s">
        <v>1295</v>
      </c>
      <c r="B359" s="315">
        <v>50.4</v>
      </c>
    </row>
    <row r="360" spans="1:2" x14ac:dyDescent="0.25">
      <c r="A360" s="313" t="s">
        <v>1296</v>
      </c>
      <c r="B360" s="312">
        <v>450</v>
      </c>
    </row>
    <row r="361" spans="1:2" x14ac:dyDescent="0.25">
      <c r="A361" s="311" t="s">
        <v>1297</v>
      </c>
      <c r="B361" s="312">
        <v>240</v>
      </c>
    </row>
    <row r="362" spans="1:2" x14ac:dyDescent="0.25">
      <c r="A362" s="314" t="s">
        <v>1633</v>
      </c>
      <c r="B362" s="315">
        <v>500</v>
      </c>
    </row>
    <row r="363" spans="1:2" x14ac:dyDescent="0.25">
      <c r="A363" s="314" t="s">
        <v>1546</v>
      </c>
      <c r="B363" s="315">
        <v>360</v>
      </c>
    </row>
    <row r="364" spans="1:2" x14ac:dyDescent="0.25">
      <c r="A364" s="314" t="s">
        <v>1547</v>
      </c>
      <c r="B364" s="315">
        <v>200</v>
      </c>
    </row>
    <row r="365" spans="1:2" x14ac:dyDescent="0.25">
      <c r="A365" s="316" t="s">
        <v>1548</v>
      </c>
      <c r="B365" s="315">
        <v>400</v>
      </c>
    </row>
    <row r="366" spans="1:2" x14ac:dyDescent="0.25">
      <c r="A366" s="313" t="s">
        <v>1549</v>
      </c>
      <c r="B366" s="312">
        <v>240</v>
      </c>
    </row>
    <row r="367" spans="1:2" x14ac:dyDescent="0.25">
      <c r="A367" s="313" t="s">
        <v>1298</v>
      </c>
      <c r="B367" s="312">
        <v>480</v>
      </c>
    </row>
    <row r="368" spans="1:2" x14ac:dyDescent="0.25">
      <c r="A368" s="311" t="s">
        <v>1299</v>
      </c>
      <c r="B368" s="312">
        <v>757</v>
      </c>
    </row>
    <row r="369" spans="1:2" x14ac:dyDescent="0.25">
      <c r="A369" s="313" t="s">
        <v>1300</v>
      </c>
      <c r="B369" s="312">
        <v>360</v>
      </c>
    </row>
    <row r="370" spans="1:2" x14ac:dyDescent="0.25">
      <c r="A370" s="313" t="s">
        <v>1301</v>
      </c>
      <c r="B370" s="312">
        <v>360</v>
      </c>
    </row>
    <row r="371" spans="1:2" x14ac:dyDescent="0.25">
      <c r="A371" s="313" t="s">
        <v>1301</v>
      </c>
      <c r="B371" s="312">
        <v>360</v>
      </c>
    </row>
    <row r="372" spans="1:2" x14ac:dyDescent="0.25">
      <c r="A372" s="311" t="s">
        <v>1302</v>
      </c>
      <c r="B372" s="312">
        <v>450</v>
      </c>
    </row>
    <row r="373" spans="1:2" x14ac:dyDescent="0.25">
      <c r="A373" s="313" t="s">
        <v>1302</v>
      </c>
      <c r="B373" s="312">
        <v>450</v>
      </c>
    </row>
    <row r="374" spans="1:2" x14ac:dyDescent="0.25">
      <c r="A374" s="313" t="s">
        <v>1550</v>
      </c>
      <c r="B374" s="312">
        <v>960</v>
      </c>
    </row>
    <row r="375" spans="1:2" x14ac:dyDescent="0.25">
      <c r="A375" s="311" t="s">
        <v>1551</v>
      </c>
      <c r="B375" s="312">
        <v>720</v>
      </c>
    </row>
    <row r="376" spans="1:2" x14ac:dyDescent="0.25">
      <c r="A376" s="313" t="s">
        <v>1303</v>
      </c>
      <c r="B376" s="312">
        <v>750</v>
      </c>
    </row>
    <row r="377" spans="1:2" x14ac:dyDescent="0.25">
      <c r="A377" s="311" t="s">
        <v>1552</v>
      </c>
      <c r="B377" s="312">
        <v>360</v>
      </c>
    </row>
    <row r="378" spans="1:2" x14ac:dyDescent="0.25">
      <c r="A378" s="313" t="s">
        <v>1304</v>
      </c>
      <c r="B378" s="312">
        <v>200</v>
      </c>
    </row>
    <row r="379" spans="1:2" x14ac:dyDescent="0.25">
      <c r="A379" s="316" t="s">
        <v>1553</v>
      </c>
      <c r="B379" s="315">
        <v>480</v>
      </c>
    </row>
    <row r="380" spans="1:2" x14ac:dyDescent="0.25">
      <c r="A380" s="313" t="s">
        <v>1554</v>
      </c>
      <c r="B380" s="312">
        <v>750</v>
      </c>
    </row>
    <row r="381" spans="1:2" x14ac:dyDescent="0.25">
      <c r="A381" s="313" t="s">
        <v>1305</v>
      </c>
      <c r="B381" s="312">
        <v>900</v>
      </c>
    </row>
    <row r="382" spans="1:2" x14ac:dyDescent="0.25">
      <c r="A382" s="313" t="s">
        <v>1306</v>
      </c>
      <c r="B382" s="312">
        <v>500</v>
      </c>
    </row>
    <row r="383" spans="1:2" x14ac:dyDescent="0.25">
      <c r="A383" s="313" t="s">
        <v>1555</v>
      </c>
      <c r="B383" s="312">
        <v>360</v>
      </c>
    </row>
    <row r="384" spans="1:2" x14ac:dyDescent="0.25">
      <c r="A384" s="313" t="s">
        <v>1556</v>
      </c>
      <c r="B384" s="312">
        <v>500</v>
      </c>
    </row>
    <row r="385" spans="1:2" x14ac:dyDescent="0.25">
      <c r="A385" s="313" t="s">
        <v>1557</v>
      </c>
      <c r="B385" s="312">
        <v>240</v>
      </c>
    </row>
    <row r="386" spans="1:2" x14ac:dyDescent="0.25">
      <c r="A386" s="313" t="s">
        <v>1558</v>
      </c>
      <c r="B386" s="312">
        <v>750</v>
      </c>
    </row>
    <row r="387" spans="1:2" x14ac:dyDescent="0.25">
      <c r="A387" s="316" t="s">
        <v>1559</v>
      </c>
      <c r="B387" s="315">
        <v>200</v>
      </c>
    </row>
    <row r="388" spans="1:2" x14ac:dyDescent="0.25">
      <c r="A388" s="313" t="s">
        <v>1560</v>
      </c>
      <c r="B388" s="312">
        <v>480</v>
      </c>
    </row>
    <row r="389" spans="1:2" x14ac:dyDescent="0.25">
      <c r="A389" s="313" t="s">
        <v>1307</v>
      </c>
      <c r="B389" s="312">
        <v>720</v>
      </c>
    </row>
    <row r="390" spans="1:2" x14ac:dyDescent="0.25">
      <c r="A390" s="316" t="s">
        <v>1308</v>
      </c>
      <c r="B390" s="315">
        <v>500</v>
      </c>
    </row>
    <row r="391" spans="1:2" x14ac:dyDescent="0.25">
      <c r="A391" s="313" t="s">
        <v>1309</v>
      </c>
      <c r="B391" s="312">
        <v>425</v>
      </c>
    </row>
    <row r="392" spans="1:2" x14ac:dyDescent="0.25">
      <c r="A392" s="316" t="s">
        <v>1310</v>
      </c>
      <c r="B392" s="315">
        <v>750</v>
      </c>
    </row>
    <row r="393" spans="1:2" x14ac:dyDescent="0.25">
      <c r="A393" s="313" t="s">
        <v>1311</v>
      </c>
      <c r="B393" s="312">
        <v>680</v>
      </c>
    </row>
    <row r="394" spans="1:2" x14ac:dyDescent="0.25">
      <c r="A394" s="313" t="s">
        <v>1312</v>
      </c>
      <c r="B394" s="312">
        <v>510</v>
      </c>
    </row>
    <row r="395" spans="1:2" x14ac:dyDescent="0.25">
      <c r="A395" s="314" t="s">
        <v>1561</v>
      </c>
      <c r="B395" s="315">
        <v>200</v>
      </c>
    </row>
    <row r="396" spans="1:2" x14ac:dyDescent="0.25">
      <c r="A396" s="316" t="s">
        <v>1562</v>
      </c>
      <c r="B396" s="315">
        <v>360</v>
      </c>
    </row>
    <row r="397" spans="1:2" x14ac:dyDescent="0.25">
      <c r="A397" s="313" t="s">
        <v>1313</v>
      </c>
      <c r="B397" s="312">
        <v>710</v>
      </c>
    </row>
    <row r="398" spans="1:2" x14ac:dyDescent="0.25">
      <c r="A398" s="313" t="s">
        <v>1563</v>
      </c>
      <c r="B398" s="312">
        <v>450</v>
      </c>
    </row>
    <row r="399" spans="1:2" x14ac:dyDescent="0.25">
      <c r="A399" s="313" t="s">
        <v>1564</v>
      </c>
      <c r="B399" s="312">
        <v>537.5</v>
      </c>
    </row>
    <row r="400" spans="1:2" x14ac:dyDescent="0.25">
      <c r="A400" s="313" t="s">
        <v>1565</v>
      </c>
      <c r="B400" s="312">
        <v>360</v>
      </c>
    </row>
    <row r="401" spans="1:2" x14ac:dyDescent="0.25">
      <c r="A401" s="313" t="s">
        <v>1566</v>
      </c>
      <c r="B401" s="312">
        <v>550</v>
      </c>
    </row>
    <row r="402" spans="1:2" x14ac:dyDescent="0.25">
      <c r="A402" s="313" t="s">
        <v>1314</v>
      </c>
      <c r="B402" s="312">
        <v>150</v>
      </c>
    </row>
    <row r="403" spans="1:2" x14ac:dyDescent="0.25">
      <c r="A403" s="313" t="s">
        <v>1315</v>
      </c>
      <c r="B403" s="312">
        <v>750</v>
      </c>
    </row>
    <row r="404" spans="1:2" x14ac:dyDescent="0.25">
      <c r="A404" s="313" t="s">
        <v>1316</v>
      </c>
      <c r="B404" s="312">
        <v>350</v>
      </c>
    </row>
    <row r="405" spans="1:2" x14ac:dyDescent="0.25">
      <c r="A405" s="313" t="s">
        <v>1567</v>
      </c>
      <c r="B405" s="312">
        <v>450</v>
      </c>
    </row>
    <row r="406" spans="1:2" x14ac:dyDescent="0.25">
      <c r="A406" s="314" t="s">
        <v>1317</v>
      </c>
      <c r="B406" s="315">
        <v>425</v>
      </c>
    </row>
    <row r="407" spans="1:2" x14ac:dyDescent="0.25">
      <c r="A407" s="311" t="s">
        <v>1318</v>
      </c>
      <c r="B407" s="312">
        <v>500</v>
      </c>
    </row>
    <row r="408" spans="1:2" x14ac:dyDescent="0.25">
      <c r="A408" s="313" t="s">
        <v>1318</v>
      </c>
      <c r="B408" s="312">
        <v>500</v>
      </c>
    </row>
    <row r="409" spans="1:2" x14ac:dyDescent="0.25">
      <c r="A409" s="313" t="s">
        <v>1319</v>
      </c>
      <c r="B409" s="312">
        <v>200</v>
      </c>
    </row>
    <row r="410" spans="1:2" x14ac:dyDescent="0.25">
      <c r="A410" s="311" t="s">
        <v>1320</v>
      </c>
      <c r="B410" s="312">
        <v>500</v>
      </c>
    </row>
    <row r="411" spans="1:2" x14ac:dyDescent="0.25">
      <c r="A411" s="313" t="s">
        <v>1321</v>
      </c>
      <c r="B411" s="312">
        <v>900</v>
      </c>
    </row>
    <row r="412" spans="1:2" x14ac:dyDescent="0.25">
      <c r="A412" s="311" t="s">
        <v>1322</v>
      </c>
      <c r="B412" s="312">
        <v>500</v>
      </c>
    </row>
    <row r="413" spans="1:2" x14ac:dyDescent="0.25">
      <c r="A413" s="313" t="s">
        <v>1323</v>
      </c>
      <c r="B413" s="312">
        <v>500</v>
      </c>
    </row>
    <row r="414" spans="1:2" x14ac:dyDescent="0.25">
      <c r="A414" s="313" t="s">
        <v>1568</v>
      </c>
      <c r="B414" s="312">
        <v>840</v>
      </c>
    </row>
    <row r="415" spans="1:2" x14ac:dyDescent="0.25">
      <c r="A415" s="316" t="s">
        <v>1324</v>
      </c>
      <c r="B415" s="315">
        <v>960</v>
      </c>
    </row>
    <row r="416" spans="1:2" x14ac:dyDescent="0.25">
      <c r="A416" s="313" t="s">
        <v>1634</v>
      </c>
      <c r="B416" s="312">
        <v>960</v>
      </c>
    </row>
    <row r="417" spans="1:2" x14ac:dyDescent="0.25">
      <c r="A417" s="313" t="s">
        <v>1325</v>
      </c>
      <c r="B417" s="312">
        <v>400</v>
      </c>
    </row>
    <row r="418" spans="1:2" x14ac:dyDescent="0.25">
      <c r="A418" s="313" t="s">
        <v>1326</v>
      </c>
      <c r="B418" s="312">
        <v>700</v>
      </c>
    </row>
    <row r="419" spans="1:2" x14ac:dyDescent="0.25">
      <c r="A419" s="314" t="s">
        <v>1327</v>
      </c>
      <c r="B419" s="315">
        <v>500</v>
      </c>
    </row>
    <row r="420" spans="1:2" x14ac:dyDescent="0.25">
      <c r="A420" s="314" t="s">
        <v>1569</v>
      </c>
      <c r="B420" s="315">
        <v>960</v>
      </c>
    </row>
    <row r="421" spans="1:2" x14ac:dyDescent="0.25">
      <c r="A421" s="313" t="s">
        <v>1570</v>
      </c>
      <c r="B421" s="312">
        <v>250</v>
      </c>
    </row>
    <row r="422" spans="1:2" x14ac:dyDescent="0.25">
      <c r="A422" s="313" t="s">
        <v>1571</v>
      </c>
      <c r="B422" s="312">
        <v>900</v>
      </c>
    </row>
    <row r="423" spans="1:2" x14ac:dyDescent="0.25">
      <c r="A423" s="313" t="s">
        <v>1328</v>
      </c>
      <c r="B423" s="312">
        <v>620</v>
      </c>
    </row>
    <row r="424" spans="1:2" x14ac:dyDescent="0.25">
      <c r="A424" s="316" t="s">
        <v>1635</v>
      </c>
      <c r="B424" s="315">
        <v>324</v>
      </c>
    </row>
    <row r="425" spans="1:2" x14ac:dyDescent="0.25">
      <c r="A425" s="313" t="s">
        <v>1572</v>
      </c>
      <c r="B425" s="312">
        <v>700</v>
      </c>
    </row>
    <row r="426" spans="1:2" x14ac:dyDescent="0.25">
      <c r="A426" s="313" t="s">
        <v>1573</v>
      </c>
      <c r="B426" s="312">
        <v>750</v>
      </c>
    </row>
    <row r="427" spans="1:2" x14ac:dyDescent="0.25">
      <c r="A427" s="314" t="s">
        <v>1329</v>
      </c>
      <c r="B427" s="315">
        <v>750</v>
      </c>
    </row>
    <row r="428" spans="1:2" x14ac:dyDescent="0.25">
      <c r="A428" s="313" t="s">
        <v>1330</v>
      </c>
      <c r="B428" s="312">
        <v>240</v>
      </c>
    </row>
    <row r="429" spans="1:2" x14ac:dyDescent="0.25">
      <c r="A429" s="313" t="s">
        <v>1574</v>
      </c>
      <c r="B429" s="312">
        <v>480</v>
      </c>
    </row>
    <row r="430" spans="1:2" x14ac:dyDescent="0.25">
      <c r="A430" s="314" t="s">
        <v>1575</v>
      </c>
      <c r="B430" s="315">
        <v>480</v>
      </c>
    </row>
    <row r="431" spans="1:2" x14ac:dyDescent="0.25">
      <c r="A431" s="313" t="s">
        <v>1576</v>
      </c>
      <c r="B431" s="312">
        <v>125</v>
      </c>
    </row>
    <row r="432" spans="1:2" x14ac:dyDescent="0.25">
      <c r="A432" s="314" t="s">
        <v>1576</v>
      </c>
      <c r="B432" s="315">
        <v>125</v>
      </c>
    </row>
    <row r="433" spans="1:2" x14ac:dyDescent="0.25">
      <c r="A433" s="314" t="s">
        <v>1331</v>
      </c>
      <c r="B433" s="315">
        <v>400</v>
      </c>
    </row>
    <row r="434" spans="1:2" x14ac:dyDescent="0.25">
      <c r="A434" s="314" t="s">
        <v>1577</v>
      </c>
      <c r="B434" s="315">
        <v>400</v>
      </c>
    </row>
    <row r="435" spans="1:2" x14ac:dyDescent="0.25">
      <c r="A435" s="314" t="s">
        <v>1578</v>
      </c>
      <c r="B435" s="315">
        <v>700</v>
      </c>
    </row>
    <row r="436" spans="1:2" x14ac:dyDescent="0.25">
      <c r="A436" s="314" t="s">
        <v>1579</v>
      </c>
      <c r="B436" s="315">
        <v>480</v>
      </c>
    </row>
    <row r="437" spans="1:2" x14ac:dyDescent="0.25">
      <c r="A437" s="316" t="s">
        <v>1332</v>
      </c>
      <c r="B437" s="315">
        <v>480</v>
      </c>
    </row>
    <row r="438" spans="1:2" x14ac:dyDescent="0.25">
      <c r="A438" s="313" t="s">
        <v>1333</v>
      </c>
      <c r="B438" s="312">
        <v>500</v>
      </c>
    </row>
    <row r="439" spans="1:2" x14ac:dyDescent="0.25">
      <c r="A439" s="314" t="s">
        <v>1334</v>
      </c>
      <c r="B439" s="315">
        <v>200</v>
      </c>
    </row>
    <row r="440" spans="1:2" x14ac:dyDescent="0.25">
      <c r="A440" s="311" t="s">
        <v>1580</v>
      </c>
      <c r="B440" s="312">
        <v>500</v>
      </c>
    </row>
    <row r="441" spans="1:2" x14ac:dyDescent="0.25">
      <c r="A441" s="313" t="s">
        <v>1335</v>
      </c>
      <c r="B441" s="312">
        <v>750</v>
      </c>
    </row>
    <row r="442" spans="1:2" x14ac:dyDescent="0.25">
      <c r="A442" s="311" t="s">
        <v>1636</v>
      </c>
      <c r="B442" s="312">
        <v>250</v>
      </c>
    </row>
    <row r="443" spans="1:2" x14ac:dyDescent="0.25">
      <c r="A443" s="313"/>
      <c r="B443" s="312"/>
    </row>
    <row r="445" spans="1:2" ht="14.4" x14ac:dyDescent="0.3">
      <c r="A445" s="98" t="s">
        <v>160</v>
      </c>
    </row>
    <row r="446" spans="1:2" x14ac:dyDescent="0.25">
      <c r="A446" t="s">
        <v>189</v>
      </c>
    </row>
    <row r="447" spans="1:2" x14ac:dyDescent="0.25">
      <c r="A447" t="s">
        <v>161</v>
      </c>
    </row>
    <row r="448" spans="1:2" x14ac:dyDescent="0.25">
      <c r="A448" t="s">
        <v>188</v>
      </c>
    </row>
    <row r="449" spans="1:2" x14ac:dyDescent="0.25">
      <c r="A449" t="s">
        <v>164</v>
      </c>
    </row>
    <row r="450" spans="1:2" x14ac:dyDescent="0.25">
      <c r="A450" t="s">
        <v>163</v>
      </c>
    </row>
    <row r="451" spans="1:2" x14ac:dyDescent="0.25">
      <c r="A451" t="s">
        <v>165</v>
      </c>
    </row>
    <row r="452" spans="1:2" x14ac:dyDescent="0.25">
      <c r="A452" t="s">
        <v>169</v>
      </c>
    </row>
    <row r="453" spans="1:2" x14ac:dyDescent="0.25">
      <c r="A453" t="s">
        <v>162</v>
      </c>
    </row>
    <row r="454" spans="1:2" x14ac:dyDescent="0.25">
      <c r="A454" t="s">
        <v>168</v>
      </c>
    </row>
    <row r="455" spans="1:2" x14ac:dyDescent="0.25">
      <c r="A455" t="s">
        <v>167</v>
      </c>
    </row>
    <row r="456" spans="1:2" x14ac:dyDescent="0.25">
      <c r="A456" t="s">
        <v>166</v>
      </c>
    </row>
    <row r="457" spans="1:2" ht="14.4" x14ac:dyDescent="0.3">
      <c r="A457" s="99" t="s">
        <v>269</v>
      </c>
    </row>
    <row r="458" spans="1:2" x14ac:dyDescent="0.25">
      <c r="A458" s="18" t="s">
        <v>189</v>
      </c>
      <c r="B458" s="7"/>
    </row>
    <row r="459" spans="1:2" x14ac:dyDescent="0.25">
      <c r="A459" t="s">
        <v>217</v>
      </c>
      <c r="B459" s="7"/>
    </row>
    <row r="460" spans="1:2" x14ac:dyDescent="0.25">
      <c r="A460" t="s">
        <v>218</v>
      </c>
      <c r="B460" s="7"/>
    </row>
    <row r="461" spans="1:2" x14ac:dyDescent="0.25">
      <c r="A461" t="s">
        <v>219</v>
      </c>
      <c r="B461" s="7"/>
    </row>
    <row r="462" spans="1:2" x14ac:dyDescent="0.25">
      <c r="A462" t="s">
        <v>220</v>
      </c>
      <c r="B462" s="7"/>
    </row>
    <row r="463" spans="1:2" x14ac:dyDescent="0.25">
      <c r="A463" t="s">
        <v>221</v>
      </c>
      <c r="B463" s="7"/>
    </row>
    <row r="464" spans="1:2" x14ac:dyDescent="0.25">
      <c r="A464" s="18" t="s">
        <v>161</v>
      </c>
      <c r="B464" s="7"/>
    </row>
    <row r="465" spans="1:2" x14ac:dyDescent="0.25">
      <c r="A465" t="s">
        <v>194</v>
      </c>
      <c r="B465" s="7"/>
    </row>
    <row r="466" spans="1:2" x14ac:dyDescent="0.25">
      <c r="A466" t="s">
        <v>191</v>
      </c>
      <c r="B466" s="7"/>
    </row>
    <row r="467" spans="1:2" x14ac:dyDescent="0.25">
      <c r="A467" t="s">
        <v>195</v>
      </c>
      <c r="B467" s="7"/>
    </row>
    <row r="468" spans="1:2" x14ac:dyDescent="0.25">
      <c r="A468" t="s">
        <v>196</v>
      </c>
      <c r="B468" s="7"/>
    </row>
    <row r="469" spans="1:2" x14ac:dyDescent="0.25">
      <c r="A469" t="s">
        <v>193</v>
      </c>
      <c r="B469" s="7"/>
    </row>
    <row r="470" spans="1:2" x14ac:dyDescent="0.25">
      <c r="A470" t="s">
        <v>197</v>
      </c>
      <c r="B470" s="7"/>
    </row>
    <row r="471" spans="1:2" x14ac:dyDescent="0.25">
      <c r="A471" t="s">
        <v>190</v>
      </c>
      <c r="B471" s="7"/>
    </row>
    <row r="472" spans="1:2" x14ac:dyDescent="0.25">
      <c r="A472" t="s">
        <v>192</v>
      </c>
      <c r="B472" s="7"/>
    </row>
    <row r="473" spans="1:2" x14ac:dyDescent="0.25">
      <c r="A473" s="18" t="s">
        <v>188</v>
      </c>
      <c r="B473" s="7"/>
    </row>
    <row r="474" spans="1:2" x14ac:dyDescent="0.25">
      <c r="A474" t="s">
        <v>209</v>
      </c>
      <c r="B474" s="7"/>
    </row>
    <row r="475" spans="1:2" x14ac:dyDescent="0.25">
      <c r="A475" t="s">
        <v>210</v>
      </c>
      <c r="B475" s="7"/>
    </row>
    <row r="476" spans="1:2" x14ac:dyDescent="0.25">
      <c r="A476" t="s">
        <v>211</v>
      </c>
      <c r="B476" s="7"/>
    </row>
    <row r="477" spans="1:2" x14ac:dyDescent="0.25">
      <c r="A477" t="s">
        <v>212</v>
      </c>
      <c r="B477" s="7"/>
    </row>
    <row r="478" spans="1:2" x14ac:dyDescent="0.25">
      <c r="A478" t="s">
        <v>213</v>
      </c>
      <c r="B478" s="7"/>
    </row>
    <row r="479" spans="1:2" x14ac:dyDescent="0.25">
      <c r="A479" t="s">
        <v>214</v>
      </c>
      <c r="B479" s="7"/>
    </row>
    <row r="480" spans="1:2" x14ac:dyDescent="0.25">
      <c r="A480" t="s">
        <v>215</v>
      </c>
      <c r="B480" s="7"/>
    </row>
    <row r="481" spans="1:2" x14ac:dyDescent="0.25">
      <c r="A481" t="s">
        <v>216</v>
      </c>
      <c r="B481" s="7"/>
    </row>
    <row r="482" spans="1:2" x14ac:dyDescent="0.25">
      <c r="A482" s="18" t="s">
        <v>164</v>
      </c>
      <c r="B482" s="7"/>
    </row>
    <row r="483" spans="1:2" x14ac:dyDescent="0.25">
      <c r="A483" t="s">
        <v>363</v>
      </c>
    </row>
    <row r="484" spans="1:2" x14ac:dyDescent="0.25">
      <c r="A484" t="s">
        <v>364</v>
      </c>
    </row>
    <row r="485" spans="1:2" x14ac:dyDescent="0.25">
      <c r="A485" t="s">
        <v>365</v>
      </c>
    </row>
    <row r="486" spans="1:2" x14ac:dyDescent="0.25">
      <c r="A486" t="s">
        <v>366</v>
      </c>
    </row>
    <row r="487" spans="1:2" x14ac:dyDescent="0.25">
      <c r="A487" t="s">
        <v>372</v>
      </c>
    </row>
    <row r="488" spans="1:2" x14ac:dyDescent="0.25">
      <c r="A488" t="s">
        <v>367</v>
      </c>
    </row>
    <row r="489" spans="1:2" x14ac:dyDescent="0.25">
      <c r="A489" t="s">
        <v>368</v>
      </c>
    </row>
    <row r="490" spans="1:2" x14ac:dyDescent="0.25">
      <c r="A490" t="s">
        <v>369</v>
      </c>
    </row>
    <row r="491" spans="1:2" x14ac:dyDescent="0.25">
      <c r="A491" t="s">
        <v>370</v>
      </c>
    </row>
    <row r="492" spans="1:2" x14ac:dyDescent="0.25">
      <c r="A492" t="s">
        <v>371</v>
      </c>
    </row>
    <row r="493" spans="1:2" x14ac:dyDescent="0.25">
      <c r="A493" t="s">
        <v>362</v>
      </c>
    </row>
    <row r="494" spans="1:2" x14ac:dyDescent="0.25">
      <c r="A494" s="18" t="s">
        <v>163</v>
      </c>
      <c r="B494" s="7"/>
    </row>
    <row r="495" spans="1:2" x14ac:dyDescent="0.25">
      <c r="A495" t="s">
        <v>229</v>
      </c>
      <c r="B495" s="7"/>
    </row>
    <row r="496" spans="1:2" x14ac:dyDescent="0.25">
      <c r="A496" t="s">
        <v>224</v>
      </c>
      <c r="B496" s="7"/>
    </row>
    <row r="497" spans="1:2" x14ac:dyDescent="0.25">
      <c r="A497" t="s">
        <v>223</v>
      </c>
      <c r="B497" s="7"/>
    </row>
    <row r="498" spans="1:2" x14ac:dyDescent="0.25">
      <c r="A498" t="s">
        <v>226</v>
      </c>
      <c r="B498" s="7"/>
    </row>
    <row r="499" spans="1:2" x14ac:dyDescent="0.25">
      <c r="A499" t="s">
        <v>227</v>
      </c>
      <c r="B499" s="7"/>
    </row>
    <row r="500" spans="1:2" x14ac:dyDescent="0.25">
      <c r="A500" t="s">
        <v>225</v>
      </c>
      <c r="B500" s="7"/>
    </row>
    <row r="501" spans="1:2" x14ac:dyDescent="0.25">
      <c r="A501" t="s">
        <v>222</v>
      </c>
      <c r="B501" s="7"/>
    </row>
    <row r="502" spans="1:2" x14ac:dyDescent="0.25">
      <c r="A502" t="s">
        <v>228</v>
      </c>
      <c r="B502" s="7"/>
    </row>
    <row r="503" spans="1:2" x14ac:dyDescent="0.25">
      <c r="A503" t="s">
        <v>231</v>
      </c>
      <c r="B503" s="7"/>
    </row>
    <row r="504" spans="1:2" x14ac:dyDescent="0.25">
      <c r="A504" t="s">
        <v>230</v>
      </c>
      <c r="B504" s="7"/>
    </row>
    <row r="505" spans="1:2" x14ac:dyDescent="0.25">
      <c r="A505" t="s">
        <v>232</v>
      </c>
      <c r="B505" s="7"/>
    </row>
    <row r="506" spans="1:2" x14ac:dyDescent="0.25">
      <c r="A506" s="18" t="s">
        <v>165</v>
      </c>
      <c r="B506" s="7"/>
    </row>
    <row r="507" spans="1:2" x14ac:dyDescent="0.25">
      <c r="A507" t="s">
        <v>233</v>
      </c>
      <c r="B507" s="7"/>
    </row>
    <row r="508" spans="1:2" x14ac:dyDescent="0.25">
      <c r="A508" t="s">
        <v>234</v>
      </c>
      <c r="B508" s="7"/>
    </row>
    <row r="509" spans="1:2" x14ac:dyDescent="0.25">
      <c r="A509" t="s">
        <v>235</v>
      </c>
      <c r="B509" s="7"/>
    </row>
    <row r="510" spans="1:2" x14ac:dyDescent="0.25">
      <c r="A510" t="s">
        <v>236</v>
      </c>
      <c r="B510" s="7"/>
    </row>
    <row r="511" spans="1:2" x14ac:dyDescent="0.25">
      <c r="A511" s="18" t="s">
        <v>169</v>
      </c>
      <c r="B511" s="7"/>
    </row>
    <row r="512" spans="1:2" x14ac:dyDescent="0.25">
      <c r="A512" t="s">
        <v>169</v>
      </c>
      <c r="B512" s="7"/>
    </row>
    <row r="513" spans="1:6" x14ac:dyDescent="0.25">
      <c r="A513" t="s">
        <v>237</v>
      </c>
      <c r="B513" s="7"/>
    </row>
    <row r="514" spans="1:6" x14ac:dyDescent="0.25">
      <c r="A514" t="s">
        <v>238</v>
      </c>
      <c r="B514" s="7"/>
    </row>
    <row r="515" spans="1:6" x14ac:dyDescent="0.25">
      <c r="A515" s="18" t="s">
        <v>162</v>
      </c>
      <c r="B515" s="7"/>
    </row>
    <row r="516" spans="1:6" x14ac:dyDescent="0.25">
      <c r="A516" t="s">
        <v>261</v>
      </c>
      <c r="B516" s="7"/>
    </row>
    <row r="517" spans="1:6" x14ac:dyDescent="0.25">
      <c r="A517" t="s">
        <v>262</v>
      </c>
      <c r="B517" s="7"/>
    </row>
    <row r="518" spans="1:6" x14ac:dyDescent="0.25">
      <c r="A518" t="s">
        <v>263</v>
      </c>
      <c r="B518" s="7"/>
    </row>
    <row r="519" spans="1:6" x14ac:dyDescent="0.25">
      <c r="A519" t="s">
        <v>264</v>
      </c>
      <c r="B519" s="7"/>
    </row>
    <row r="520" spans="1:6" x14ac:dyDescent="0.25">
      <c r="A520" t="s">
        <v>265</v>
      </c>
      <c r="B520" s="7"/>
    </row>
    <row r="521" spans="1:6" x14ac:dyDescent="0.25">
      <c r="A521" t="s">
        <v>266</v>
      </c>
      <c r="B521" s="7"/>
    </row>
    <row r="522" spans="1:6" x14ac:dyDescent="0.25">
      <c r="A522" t="s">
        <v>267</v>
      </c>
      <c r="B522" s="7"/>
    </row>
    <row r="523" spans="1:6" x14ac:dyDescent="0.25">
      <c r="A523" t="s">
        <v>268</v>
      </c>
      <c r="B523" s="7"/>
    </row>
    <row r="524" spans="1:6" x14ac:dyDescent="0.25">
      <c r="A524" s="18" t="s">
        <v>168</v>
      </c>
      <c r="B524" s="7"/>
    </row>
    <row r="525" spans="1:6" x14ac:dyDescent="0.25">
      <c r="A525" t="s">
        <v>884</v>
      </c>
      <c r="B525" s="7"/>
    </row>
    <row r="526" spans="1:6" x14ac:dyDescent="0.25">
      <c r="A526" t="s">
        <v>245</v>
      </c>
      <c r="B526" s="7"/>
    </row>
    <row r="527" spans="1:6" x14ac:dyDescent="0.25">
      <c r="A527" t="s">
        <v>244</v>
      </c>
      <c r="B527" s="7"/>
    </row>
    <row r="528" spans="1:6" x14ac:dyDescent="0.25">
      <c r="A528" t="s">
        <v>240</v>
      </c>
      <c r="B528" s="7"/>
      <c r="F528" s="30"/>
    </row>
    <row r="529" spans="1:6" x14ac:dyDescent="0.25">
      <c r="A529" t="s">
        <v>242</v>
      </c>
      <c r="B529" s="7"/>
      <c r="F529" s="30"/>
    </row>
    <row r="530" spans="1:6" x14ac:dyDescent="0.25">
      <c r="A530" t="s">
        <v>239</v>
      </c>
      <c r="B530" s="7"/>
    </row>
    <row r="531" spans="1:6" x14ac:dyDescent="0.25">
      <c r="A531" t="s">
        <v>241</v>
      </c>
      <c r="B531" s="7"/>
    </row>
    <row r="532" spans="1:6" x14ac:dyDescent="0.25">
      <c r="A532" t="s">
        <v>243</v>
      </c>
      <c r="B532" s="7"/>
    </row>
    <row r="533" spans="1:6" x14ac:dyDescent="0.25">
      <c r="A533" s="18" t="s">
        <v>167</v>
      </c>
      <c r="B533" s="7"/>
    </row>
    <row r="534" spans="1:6" x14ac:dyDescent="0.25">
      <c r="A534" t="s">
        <v>251</v>
      </c>
      <c r="B534" s="7"/>
    </row>
    <row r="535" spans="1:6" x14ac:dyDescent="0.25">
      <c r="A535" t="s">
        <v>252</v>
      </c>
      <c r="B535" s="7"/>
    </row>
    <row r="536" spans="1:6" x14ac:dyDescent="0.25">
      <c r="A536" t="s">
        <v>253</v>
      </c>
      <c r="B536" s="7"/>
    </row>
    <row r="537" spans="1:6" x14ac:dyDescent="0.25">
      <c r="A537" t="s">
        <v>246</v>
      </c>
      <c r="B537" s="7"/>
    </row>
    <row r="538" spans="1:6" x14ac:dyDescent="0.25">
      <c r="A538" t="s">
        <v>247</v>
      </c>
      <c r="B538" s="7"/>
    </row>
    <row r="539" spans="1:6" x14ac:dyDescent="0.25">
      <c r="A539" t="s">
        <v>255</v>
      </c>
      <c r="B539" s="7"/>
    </row>
    <row r="540" spans="1:6" x14ac:dyDescent="0.25">
      <c r="A540" t="s">
        <v>254</v>
      </c>
      <c r="B540" s="7"/>
    </row>
    <row r="541" spans="1:6" x14ac:dyDescent="0.25">
      <c r="A541" t="s">
        <v>249</v>
      </c>
      <c r="B541" s="7"/>
      <c r="E541" s="30"/>
      <c r="F541">
        <v>2</v>
      </c>
    </row>
    <row r="542" spans="1:6" x14ac:dyDescent="0.25">
      <c r="A542" t="s">
        <v>248</v>
      </c>
      <c r="B542" s="7"/>
    </row>
    <row r="543" spans="1:6" x14ac:dyDescent="0.25">
      <c r="A543" t="s">
        <v>250</v>
      </c>
      <c r="B543" s="7"/>
    </row>
    <row r="544" spans="1:6" x14ac:dyDescent="0.25">
      <c r="A544" s="18" t="s">
        <v>166</v>
      </c>
      <c r="B544" s="7"/>
    </row>
    <row r="545" spans="1:5" x14ac:dyDescent="0.25">
      <c r="A545" t="s">
        <v>256</v>
      </c>
      <c r="B545" s="7"/>
    </row>
    <row r="546" spans="1:5" x14ac:dyDescent="0.25">
      <c r="A546" t="s">
        <v>257</v>
      </c>
      <c r="B546" s="7"/>
    </row>
    <row r="547" spans="1:5" x14ac:dyDescent="0.25">
      <c r="A547" t="s">
        <v>258</v>
      </c>
      <c r="B547" s="7"/>
      <c r="E547" s="30"/>
    </row>
    <row r="548" spans="1:5" x14ac:dyDescent="0.25">
      <c r="A548" t="s">
        <v>259</v>
      </c>
      <c r="B548" s="7"/>
      <c r="D548" s="29"/>
    </row>
    <row r="549" spans="1:5" x14ac:dyDescent="0.25">
      <c r="A549" t="s">
        <v>260</v>
      </c>
      <c r="B549" s="7"/>
    </row>
    <row r="552" spans="1:5" x14ac:dyDescent="0.25">
      <c r="A552" s="236"/>
    </row>
    <row r="569" spans="1:1" x14ac:dyDescent="0.25">
      <c r="A569" s="245"/>
    </row>
  </sheetData>
  <sortState xmlns:xlrd2="http://schemas.microsoft.com/office/spreadsheetml/2017/richdata2" ref="A83:B448">
    <sortCondition ref="A83:A448"/>
  </sortState>
  <mergeCells count="1">
    <mergeCell ref="F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29</vt:i4>
      </vt:variant>
    </vt:vector>
  </HeadingPairs>
  <TitlesOfParts>
    <vt:vector size="36" baseType="lpstr">
      <vt:lpstr>INTRO</vt:lpstr>
      <vt:lpstr>PROFILE</vt:lpstr>
      <vt:lpstr>PROSPERITY</vt:lpstr>
      <vt:lpstr>PEOPLE</vt:lpstr>
      <vt:lpstr>PLANET</vt:lpstr>
      <vt:lpstr>SAI QUESTIONS</vt:lpstr>
      <vt:lpstr>REPORT</vt:lpstr>
      <vt:lpstr>PEOPLE!_Toc142473747</vt:lpstr>
      <vt:lpstr>AGROCHEM</vt:lpstr>
      <vt:lpstr>AGROCHEMTAB</vt:lpstr>
      <vt:lpstr>EXTENSION</vt:lpstr>
      <vt:lpstr>EXTENSIONTAB</vt:lpstr>
      <vt:lpstr>Komati</vt:lpstr>
      <vt:lpstr>Lower_South_Coast</vt:lpstr>
      <vt:lpstr>Malelane</vt:lpstr>
      <vt:lpstr>Manual</vt:lpstr>
      <vt:lpstr>Midlands_North</vt:lpstr>
      <vt:lpstr>Midlands_South</vt:lpstr>
      <vt:lpstr>North_Coast</vt:lpstr>
      <vt:lpstr>OPT_1</vt:lpstr>
      <vt:lpstr>OPT_2</vt:lpstr>
      <vt:lpstr>OPT_3</vt:lpstr>
      <vt:lpstr>OPT_4</vt:lpstr>
      <vt:lpstr>OPTSCORE1</vt:lpstr>
      <vt:lpstr>OPTSCORE2</vt:lpstr>
      <vt:lpstr>OPTSCORE3</vt:lpstr>
      <vt:lpstr>OPTSCORE4</vt:lpstr>
      <vt:lpstr>Pongola</vt:lpstr>
      <vt:lpstr>PEOPLE!Print_Area</vt:lpstr>
      <vt:lpstr>PLANET!Print_Area</vt:lpstr>
      <vt:lpstr>PROFILE!Print_Area</vt:lpstr>
      <vt:lpstr>PROSPERITY!Print_Area</vt:lpstr>
      <vt:lpstr>South_Coast</vt:lpstr>
      <vt:lpstr>Umfolozi</vt:lpstr>
      <vt:lpstr>Zululand_North</vt:lpstr>
      <vt:lpstr>Zululand_South</vt:lpstr>
    </vt:vector>
  </TitlesOfParts>
  <Company>South African Sugar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sasri</dc:creator>
  <cp:lastModifiedBy>Poovie Govender</cp:lastModifiedBy>
  <cp:lastPrinted>2018-11-15T10:00:08Z</cp:lastPrinted>
  <dcterms:created xsi:type="dcterms:W3CDTF">2012-08-28T10:53:53Z</dcterms:created>
  <dcterms:modified xsi:type="dcterms:W3CDTF">2025-02-27T12:29:15Z</dcterms:modified>
</cp:coreProperties>
</file>